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95" windowWidth="28830" windowHeight="5625" activeTab="0"/>
  </bookViews>
  <sheets>
    <sheet name="Sommaire" sheetId="1" r:id="rId1"/>
    <sheet name="evolution" sheetId="2" r:id="rId2"/>
    <sheet name="age" sheetId="3" r:id="rId3"/>
    <sheet name="GN quartier" sheetId="4" r:id="rId4"/>
    <sheet name="GN gpe age" sheetId="5" r:id="rId5"/>
    <sheet name="communauté d'appartenance" sheetId="6" r:id="rId6"/>
  </sheets>
  <definedNames/>
  <calcPr fullCalcOnLoad="1"/>
</workbook>
</file>

<file path=xl/sharedStrings.xml><?xml version="1.0" encoding="utf-8"?>
<sst xmlns="http://schemas.openxmlformats.org/spreadsheetml/2006/main" count="438" uniqueCount="172">
  <si>
    <t>Unités : Nombre d'individus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</si>
  <si>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</si>
  <si>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</si>
  <si>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</si>
  <si>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</si>
  <si>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</si>
  <si>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</si>
  <si>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</si>
  <si>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et plus</t>
  </si>
  <si>
    <t>Lifou</t>
  </si>
  <si>
    <t>Maré</t>
  </si>
  <si>
    <t>Ouvéa</t>
  </si>
  <si>
    <t>Total</t>
  </si>
  <si>
    <t>Belep</t>
  </si>
  <si>
    <t>Canala</t>
  </si>
  <si>
    <t>Hienghène</t>
  </si>
  <si>
    <t>Houaïlou</t>
  </si>
  <si>
    <t>Kaala-gomen</t>
  </si>
  <si>
    <t>Koné</t>
  </si>
  <si>
    <t>Kouaoua</t>
  </si>
  <si>
    <t>Koumac</t>
  </si>
  <si>
    <t>Ouégoa</t>
  </si>
  <si>
    <t>Poindimié</t>
  </si>
  <si>
    <t>Ponérihouen</t>
  </si>
  <si>
    <t>Pouébo</t>
  </si>
  <si>
    <t>Pouembout</t>
  </si>
  <si>
    <t>Poum</t>
  </si>
  <si>
    <t>Poya</t>
  </si>
  <si>
    <t>Touho</t>
  </si>
  <si>
    <t>Voh</t>
  </si>
  <si>
    <t>Boulouparis</t>
  </si>
  <si>
    <t>Bourail</t>
  </si>
  <si>
    <t>Dumbéa</t>
  </si>
  <si>
    <t>Farino</t>
  </si>
  <si>
    <t>Ile des pins</t>
  </si>
  <si>
    <t>La Foa</t>
  </si>
  <si>
    <t>Moindou</t>
  </si>
  <si>
    <t>Mont-Dore</t>
  </si>
  <si>
    <t>Nouméa</t>
  </si>
  <si>
    <t>Païta</t>
  </si>
  <si>
    <t>Sarraméa</t>
  </si>
  <si>
    <t>Thio</t>
  </si>
  <si>
    <t>Yaté</t>
  </si>
  <si>
    <t>Province Iles Loyauté</t>
  </si>
  <si>
    <t xml:space="preserve">Province Nord </t>
  </si>
  <si>
    <t xml:space="preserve">Province Sud </t>
  </si>
  <si>
    <t xml:space="preserve">Nouvelle-Calédonie </t>
  </si>
  <si>
    <t>En 2009</t>
  </si>
  <si>
    <t xml:space="preserve">Total 
60 ans et + </t>
  </si>
  <si>
    <t>% population totale</t>
  </si>
  <si>
    <t xml:space="preserve">Source : INSEE - ISEE - Recensements de la population </t>
  </si>
  <si>
    <t xml:space="preserve">ANNEE DU RECENSEMENT </t>
  </si>
  <si>
    <t xml:space="preserve"> ///</t>
  </si>
  <si>
    <t xml:space="preserve"> /// </t>
  </si>
  <si>
    <t>60 ans  
et +</t>
  </si>
  <si>
    <t>Communes des Iles Loyauté</t>
  </si>
  <si>
    <t xml:space="preserve">Communes du Nord </t>
  </si>
  <si>
    <t xml:space="preserve">Communes du Sud </t>
  </si>
  <si>
    <t>En 2014</t>
  </si>
  <si>
    <t>Hommes</t>
  </si>
  <si>
    <t>Femmes</t>
  </si>
  <si>
    <t>Val Plaisance</t>
  </si>
  <si>
    <t>Anse-Vata</t>
  </si>
  <si>
    <t>Baie des Citrons</t>
  </si>
  <si>
    <t>N'Géa</t>
  </si>
  <si>
    <t>Orphelinat</t>
  </si>
  <si>
    <t>Trianon</t>
  </si>
  <si>
    <t>Faubourg Blanchot</t>
  </si>
  <si>
    <t>Artillerie</t>
  </si>
  <si>
    <t>Quartier latin</t>
  </si>
  <si>
    <t>Vallée des colons</t>
  </si>
  <si>
    <t>Magenta</t>
  </si>
  <si>
    <t>Ouémo</t>
  </si>
  <si>
    <t>Aérodrome</t>
  </si>
  <si>
    <t>Portes de fer</t>
  </si>
  <si>
    <t>Haut-Magenta</t>
  </si>
  <si>
    <t>Nouville</t>
  </si>
  <si>
    <t>Montravel</t>
  </si>
  <si>
    <t>P.K. 4</t>
  </si>
  <si>
    <t xml:space="preserve">P.K. 6 </t>
  </si>
  <si>
    <t>Tina</t>
  </si>
  <si>
    <t>Normandie</t>
  </si>
  <si>
    <t>P.K. 7</t>
  </si>
  <si>
    <t>Rivière-Salée</t>
  </si>
  <si>
    <t>Zone indus. Ducos</t>
  </si>
  <si>
    <t>Ducos</t>
  </si>
  <si>
    <t>Logicoop</t>
  </si>
  <si>
    <t>Kaméré</t>
  </si>
  <si>
    <t>NOUMEA</t>
  </si>
  <si>
    <t>Cœur de Ville</t>
  </si>
  <si>
    <t>Koutio</t>
  </si>
  <si>
    <t>Auteuil</t>
  </si>
  <si>
    <t>Dumbéa sur mer</t>
  </si>
  <si>
    <t>Plaine Adam</t>
  </si>
  <si>
    <t>Nakutakoin</t>
  </si>
  <si>
    <t>Les Koghis</t>
  </si>
  <si>
    <t>Plaine de Koé</t>
  </si>
  <si>
    <t>Katiramona sud</t>
  </si>
  <si>
    <t>Nondoué-La Couvelée</t>
  </si>
  <si>
    <t>DUMBEA</t>
  </si>
  <si>
    <t>Yahoué</t>
  </si>
  <si>
    <t>Pont des Français</t>
  </si>
  <si>
    <t>Conception</t>
  </si>
  <si>
    <t>Robinson</t>
  </si>
  <si>
    <t>Boulari</t>
  </si>
  <si>
    <t>Saint Michel</t>
  </si>
  <si>
    <t>Saint Louis</t>
  </si>
  <si>
    <t>La Coulée</t>
  </si>
  <si>
    <t>Vallon Dore</t>
  </si>
  <si>
    <t>Mont-Dore sud</t>
  </si>
  <si>
    <t>Plum</t>
  </si>
  <si>
    <t>La Lembi-Grand sud-Ile Ouen</t>
  </si>
  <si>
    <t>MONT-DORE (LE)</t>
  </si>
  <si>
    <t>Païta Centre</t>
  </si>
  <si>
    <t>Scheffleras</t>
  </si>
  <si>
    <t>Mont Mou</t>
  </si>
  <si>
    <t>Katiramona-Gadji</t>
  </si>
  <si>
    <t>Ondémia-Port Laguerre</t>
  </si>
  <si>
    <t>N'dé-Naniouni</t>
  </si>
  <si>
    <t>Tamoa-Bangou-Saint Laurent</t>
  </si>
  <si>
    <t>Tontouta-Littoral</t>
  </si>
  <si>
    <t>PAITA</t>
  </si>
  <si>
    <t>GRAND NOUMEA</t>
  </si>
  <si>
    <t>95 ans et +</t>
  </si>
  <si>
    <t>Dumbea</t>
  </si>
  <si>
    <t>Paita</t>
  </si>
  <si>
    <t>Unité : Nombre d'individus</t>
  </si>
  <si>
    <t>Grand Nouméa</t>
  </si>
  <si>
    <t>Population de 60 ans et +</t>
  </si>
  <si>
    <t>evolution</t>
  </si>
  <si>
    <t>age</t>
  </si>
  <si>
    <t>GN quartier</t>
  </si>
  <si>
    <t>GN gpe age</t>
  </si>
  <si>
    <t>Evolution de la population de 60 ans et plus, par commune et tranche d'âge quinquennale</t>
  </si>
  <si>
    <t xml:space="preserve">Evolution de la population de 60 ans et + par commune et part dans la population correspondante, aux différents recensements </t>
  </si>
  <si>
    <t>Motor pool, Receiving</t>
  </si>
  <si>
    <t>Vallée du génie, Centre ville</t>
  </si>
  <si>
    <t>Vallée du tir, Doniambo, Montagne coupée</t>
  </si>
  <si>
    <t>Numbo-Koumourou, Tindu</t>
  </si>
  <si>
    <t>Européenne</t>
  </si>
  <si>
    <t>Indonésienne</t>
  </si>
  <si>
    <t>Kanak</t>
  </si>
  <si>
    <t>Ni-vanuatu</t>
  </si>
  <si>
    <t>Tahitienne</t>
  </si>
  <si>
    <t>Vietnamienne</t>
  </si>
  <si>
    <t>Wallisienne, Futunienne</t>
  </si>
  <si>
    <t>Autre asiatique</t>
  </si>
  <si>
    <t>Métis, plusieurs communautés</t>
  </si>
  <si>
    <t>Autres communautés</t>
  </si>
  <si>
    <t>Ensemble</t>
  </si>
  <si>
    <t>60 à 69 ans</t>
  </si>
  <si>
    <t>70 à 79 ans</t>
  </si>
  <si>
    <t>80 à 89 ans</t>
  </si>
  <si>
    <t>90 ans et plus</t>
  </si>
  <si>
    <t>Total 60 ans et +</t>
  </si>
  <si>
    <t>Unité : nombre</t>
  </si>
  <si>
    <t>Population de 60 ans et plus selon la communauté d'appartenance et la tranche d'âge détaillée</t>
  </si>
  <si>
    <t xml:space="preserve">Communauté d'appartenance </t>
  </si>
  <si>
    <t>Source : INSEE - ISEE - Recensements de la population 2009 ; 2014 et 2019</t>
  </si>
  <si>
    <t>En 2019</t>
  </si>
  <si>
    <t>Population de 60 ans et + par quartier du Grand Nouméa et part dans la population correspondante</t>
  </si>
  <si>
    <t>Source : INSEE - ISEE - Recensements de la population 2014 et 2019</t>
  </si>
  <si>
    <t>Recensement de la population 2014</t>
  </si>
  <si>
    <t>Recensement de la population 2019</t>
  </si>
  <si>
    <t>Population de 60 ans et + par commune du Grand Nouméa, par tranche d'âge et part dans la population correspondante</t>
  </si>
  <si>
    <t>80 ans et plus</t>
  </si>
  <si>
    <t>Données mises à jour le : 29/10/2020</t>
  </si>
  <si>
    <t>Poya Nord</t>
  </si>
  <si>
    <t>Poya Sud</t>
  </si>
  <si>
    <t>Population de 60 ans et + par quartier du Grand Nouméa et part dans la population correspondante, en 2014 et 2019</t>
  </si>
  <si>
    <t>Population de 60 ans et + par commune du Grand Nouméa, par tranche d'âge et part dans la population correspondante, en 2014 et 2019</t>
  </si>
  <si>
    <t>Population de 60 ans et plus selon la communauté d'appartenance et la tranche d'âge détaillée, en 2014 et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</si>
</sst>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##\ ###\ ###\ ###\ \ 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&quot; F&quot;_-;\-* #,##0&quot; F&quot;_-;_-* &quot;-&quot;&quot; F&quot;_-;_-@_-"/>
    <numFmt numFmtId="175" formatCode="_-* #,##0_ _F_-;\-* #,##0_ _F_-;_-* &quot;-&quot;_ _F_-;_-@_-"/>
    <numFmt numFmtId="176" formatCode="_-* #,##0.00&quot; F&quot;_-;\-* #,##0.00&quot; F&quot;_-;_-* &quot;-&quot;??&quot; F&quot;_-;_-@_-"/>
    <numFmt numFmtId="177" formatCode="_-* #,##0.00_ _F_-;\-* #,##0.00_ _F_-;_-* &quot;-&quot;??_ _F_-;_-@_-"/>
    <numFmt numFmtId="178" formatCode="#,##0\ [$€];[Red]\-#,##0\ [$€]"/>
    <numFmt numFmtId="179" formatCode="#,##0.0"/>
  </numFmts>
  <fonts count="62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i/>
      <sz val="10"/>
      <color indexed="23"/>
      <name val="Calibri"/>
      <family val="2"/>
    </font>
    <font>
      <b/>
      <i/>
      <sz val="10"/>
      <color indexed="2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3"/>
      <color indexed="23"/>
      <name val="Calibri"/>
      <family val="2"/>
    </font>
    <font>
      <b/>
      <sz val="10"/>
      <color indexed="8"/>
      <name val="Calibri"/>
      <family val="2"/>
    </font>
    <font>
      <sz val="9"/>
      <name val="Geneva"/>
      <family val="0"/>
    </font>
    <font>
      <u val="single"/>
      <sz val="9"/>
      <color indexed="12"/>
      <name val="Geneva"/>
      <family val="0"/>
    </font>
    <font>
      <sz val="10"/>
      <name val="MS Sans Serif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Geneva"/>
      <family val="0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13"/>
      <name val="Calibri"/>
      <family val="2"/>
    </font>
    <font>
      <u val="single"/>
      <sz val="10"/>
      <color indexed="2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i/>
      <sz val="10"/>
      <color theme="0" tint="-0.4999699890613556"/>
      <name val="Calibri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137">
    <xf numFmtId="0" fontId="4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6" fillId="25" borderId="0" applyNumberFormat="0" applyBorder="0" applyAlignment="0" applyProtection="0"/>
    <xf numFmtId="0" fontId="42" fillId="26" borderId="0" applyNumberFormat="0" applyBorder="0" applyAlignment="0" applyProtection="0"/>
    <xf numFmtId="0" fontId="16" fillId="17" borderId="0" applyNumberFormat="0" applyBorder="0" applyAlignment="0" applyProtection="0"/>
    <xf numFmtId="0" fontId="42" fillId="27" borderId="0" applyNumberFormat="0" applyBorder="0" applyAlignment="0" applyProtection="0"/>
    <xf numFmtId="0" fontId="16" fillId="19" borderId="0" applyNumberFormat="0" applyBorder="0" applyAlignment="0" applyProtection="0"/>
    <xf numFmtId="0" fontId="42" fillId="28" borderId="0" applyNumberFormat="0" applyBorder="0" applyAlignment="0" applyProtection="0"/>
    <xf numFmtId="0" fontId="16" fillId="29" borderId="0" applyNumberFormat="0" applyBorder="0" applyAlignment="0" applyProtection="0"/>
    <xf numFmtId="0" fontId="42" fillId="30" borderId="0" applyNumberFormat="0" applyBorder="0" applyAlignment="0" applyProtection="0"/>
    <xf numFmtId="0" fontId="16" fillId="31" borderId="0" applyNumberFormat="0" applyBorder="0" applyAlignment="0" applyProtection="0"/>
    <xf numFmtId="0" fontId="42" fillId="32" borderId="0" applyNumberFormat="0" applyBorder="0" applyAlignment="0" applyProtection="0"/>
    <xf numFmtId="0" fontId="16" fillId="33" borderId="0" applyNumberFormat="0" applyBorder="0" applyAlignment="0" applyProtection="0"/>
    <xf numFmtId="0" fontId="42" fillId="34" borderId="0" applyNumberFormat="0" applyBorder="0" applyAlignment="0" applyProtection="0"/>
    <xf numFmtId="0" fontId="16" fillId="35" borderId="0" applyNumberFormat="0" applyBorder="0" applyAlignment="0" applyProtection="0"/>
    <xf numFmtId="0" fontId="42" fillId="36" borderId="0" applyNumberFormat="0" applyBorder="0" applyAlignment="0" applyProtection="0"/>
    <xf numFmtId="0" fontId="16" fillId="37" borderId="0" applyNumberFormat="0" applyBorder="0" applyAlignment="0" applyProtection="0"/>
    <xf numFmtId="0" fontId="42" fillId="38" borderId="0" applyNumberFormat="0" applyBorder="0" applyAlignment="0" applyProtection="0"/>
    <xf numFmtId="0" fontId="16" fillId="39" borderId="0" applyNumberFormat="0" applyBorder="0" applyAlignment="0" applyProtection="0"/>
    <xf numFmtId="0" fontId="42" fillId="40" borderId="0" applyNumberFormat="0" applyBorder="0" applyAlignment="0" applyProtection="0"/>
    <xf numFmtId="0" fontId="16" fillId="29" borderId="0" applyNumberFormat="0" applyBorder="0" applyAlignment="0" applyProtection="0"/>
    <xf numFmtId="0" fontId="42" fillId="41" borderId="0" applyNumberFormat="0" applyBorder="0" applyAlignment="0" applyProtection="0"/>
    <xf numFmtId="0" fontId="16" fillId="31" borderId="0" applyNumberFormat="0" applyBorder="0" applyAlignment="0" applyProtection="0"/>
    <xf numFmtId="0" fontId="42" fillId="42" borderId="0" applyNumberFormat="0" applyBorder="0" applyAlignment="0" applyProtection="0"/>
    <xf numFmtId="0" fontId="16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44" borderId="1" applyNumberFormat="0" applyAlignment="0" applyProtection="0"/>
    <xf numFmtId="0" fontId="18" fillId="45" borderId="2" applyNumberFormat="0" applyAlignment="0" applyProtection="0"/>
    <xf numFmtId="0" fontId="45" fillId="0" borderId="3" applyNumberFormat="0" applyFill="0" applyAlignment="0" applyProtection="0"/>
    <xf numFmtId="0" fontId="19" fillId="0" borderId="4" applyNumberFormat="0" applyFill="0" applyAlignment="0" applyProtection="0"/>
    <xf numFmtId="0" fontId="1" fillId="46" borderId="5" applyNumberFormat="0" applyFont="0" applyAlignment="0" applyProtection="0"/>
    <xf numFmtId="0" fontId="1" fillId="46" borderId="5" applyNumberFormat="0" applyFont="0" applyAlignment="0" applyProtection="0"/>
    <xf numFmtId="0" fontId="1" fillId="47" borderId="6" applyNumberFormat="0" applyFont="0" applyAlignment="0" applyProtection="0"/>
    <xf numFmtId="0" fontId="1" fillId="46" borderId="5" applyNumberFormat="0" applyFont="0" applyAlignment="0" applyProtection="0"/>
    <xf numFmtId="0" fontId="1" fillId="46" borderId="5" applyNumberFormat="0" applyFont="0" applyAlignment="0" applyProtection="0"/>
    <xf numFmtId="0" fontId="1" fillId="46" borderId="5" applyNumberFormat="0" applyFont="0" applyAlignment="0" applyProtection="0"/>
    <xf numFmtId="0" fontId="1" fillId="47" borderId="6" applyNumberFormat="0" applyFont="0" applyAlignment="0" applyProtection="0"/>
    <xf numFmtId="0" fontId="41" fillId="46" borderId="5" applyNumberFormat="0" applyFont="0" applyAlignment="0" applyProtection="0"/>
    <xf numFmtId="0" fontId="46" fillId="48" borderId="1" applyNumberFormat="0" applyAlignment="0" applyProtection="0"/>
    <xf numFmtId="0" fontId="20" fillId="13" borderId="2" applyNumberFormat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47" fillId="49" borderId="0" applyNumberFormat="0" applyBorder="0" applyAlignment="0" applyProtection="0"/>
    <xf numFmtId="0" fontId="2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50" borderId="0" applyNumberFormat="0" applyBorder="0" applyAlignment="0" applyProtection="0"/>
    <xf numFmtId="0" fontId="22" fillId="51" borderId="0" applyNumberFormat="0" applyBorder="0" applyAlignment="0" applyProtection="0"/>
    <xf numFmtId="0" fontId="12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0" fillId="0" borderId="0">
      <alignment vertical="center"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0" fillId="52" borderId="0" applyNumberFormat="0" applyBorder="0" applyAlignment="0" applyProtection="0"/>
    <xf numFmtId="0" fontId="23" fillId="7" borderId="0" applyNumberFormat="0" applyBorder="0" applyAlignment="0" applyProtection="0"/>
    <xf numFmtId="0" fontId="51" fillId="44" borderId="7" applyNumberFormat="0" applyAlignment="0" applyProtection="0"/>
    <xf numFmtId="0" fontId="24" fillId="45" borderId="8" applyNumberFormat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27" fillId="0" borderId="10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2" fillId="0" borderId="16" applyNumberFormat="0" applyFill="0" applyAlignment="0" applyProtection="0"/>
    <xf numFmtId="0" fontId="58" fillId="53" borderId="17" applyNumberFormat="0" applyAlignment="0" applyProtection="0"/>
    <xf numFmtId="0" fontId="30" fillId="54" borderId="18" applyNumberFormat="0" applyAlignment="0" applyProtection="0"/>
  </cellStyleXfs>
  <cellXfs count="10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67" fontId="1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45" borderId="0" xfId="0" applyFont="1" applyFill="1" applyBorder="1" applyAlignment="1">
      <alignment vertical="center" wrapText="1"/>
    </xf>
    <xf numFmtId="0" fontId="7" fillId="45" borderId="0" xfId="0" applyFont="1" applyFill="1" applyBorder="1" applyAlignment="1">
      <alignment horizontal="center" vertical="center" wrapText="1"/>
    </xf>
    <xf numFmtId="0" fontId="7" fillId="45" borderId="0" xfId="0" applyFont="1" applyFill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0" xfId="0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15" fillId="0" borderId="0" xfId="104" applyNumberFormat="1" applyFont="1">
      <alignment/>
      <protection/>
    </xf>
    <xf numFmtId="0" fontId="2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 wrapText="1"/>
    </xf>
    <xf numFmtId="167" fontId="9" fillId="2" borderId="22" xfId="0" applyNumberFormat="1" applyFont="1" applyFill="1" applyBorder="1" applyAlignment="1">
      <alignment vertical="center"/>
    </xf>
    <xf numFmtId="173" fontId="9" fillId="2" borderId="22" xfId="0" applyNumberFormat="1" applyFont="1" applyFill="1" applyBorder="1" applyAlignment="1">
      <alignment horizontal="right" vertical="center" wrapText="1"/>
    </xf>
    <xf numFmtId="167" fontId="9" fillId="2" borderId="22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7" fillId="0" borderId="0" xfId="108" applyFont="1" applyBorder="1" applyAlignment="1">
      <alignment vertical="center" wrapText="1"/>
      <protection/>
    </xf>
    <xf numFmtId="0" fontId="15" fillId="55" borderId="0" xfId="108" applyFont="1" applyFill="1" applyBorder="1" applyAlignment="1">
      <alignment vertical="center" wrapText="1"/>
      <protection/>
    </xf>
    <xf numFmtId="0" fontId="37" fillId="0" borderId="23" xfId="108" applyFont="1" applyBorder="1" applyAlignment="1">
      <alignment vertical="center" wrapText="1"/>
      <protection/>
    </xf>
    <xf numFmtId="0" fontId="59" fillId="2" borderId="22" xfId="113" applyFont="1" applyFill="1" applyBorder="1" applyAlignment="1">
      <alignment vertical="center" wrapText="1"/>
      <protection/>
    </xf>
    <xf numFmtId="173" fontId="15" fillId="55" borderId="0" xfId="108" applyNumberFormat="1" applyFont="1" applyFill="1" applyBorder="1" applyAlignment="1">
      <alignment vertical="center" wrapText="1"/>
      <protection/>
    </xf>
    <xf numFmtId="3" fontId="15" fillId="55" borderId="0" xfId="108" applyNumberFormat="1" applyFont="1" applyFill="1" applyBorder="1" applyAlignment="1">
      <alignment vertical="center" wrapText="1"/>
      <protection/>
    </xf>
    <xf numFmtId="173" fontId="59" fillId="2" borderId="22" xfId="113" applyNumberFormat="1" applyFont="1" applyFill="1" applyBorder="1" applyAlignment="1">
      <alignment vertical="center" wrapText="1"/>
      <protection/>
    </xf>
    <xf numFmtId="3" fontId="59" fillId="2" borderId="22" xfId="113" applyNumberFormat="1" applyFont="1" applyFill="1" applyBorder="1" applyAlignment="1">
      <alignment vertical="center" wrapText="1"/>
      <protection/>
    </xf>
    <xf numFmtId="0" fontId="8" fillId="2" borderId="2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2" fillId="0" borderId="0" xfId="96" applyFont="1" applyAlignment="1" applyProtection="1">
      <alignment vertical="center"/>
      <protection/>
    </xf>
    <xf numFmtId="0" fontId="38" fillId="0" borderId="0" xfId="96" applyFont="1" applyAlignment="1" applyProtection="1">
      <alignment vertical="center"/>
      <protection/>
    </xf>
    <xf numFmtId="0" fontId="60" fillId="0" borderId="0" xfId="105" applyFont="1">
      <alignment/>
      <protection/>
    </xf>
    <xf numFmtId="0" fontId="7" fillId="45" borderId="0" xfId="0" applyFont="1" applyFill="1" applyBorder="1" applyAlignment="1">
      <alignment vertical="center"/>
    </xf>
    <xf numFmtId="0" fontId="7" fillId="56" borderId="0" xfId="0" applyFont="1" applyFill="1" applyBorder="1" applyAlignment="1">
      <alignment vertical="center"/>
    </xf>
    <xf numFmtId="0" fontId="1" fillId="56" borderId="0" xfId="0" applyFont="1" applyFill="1" applyAlignment="1">
      <alignment vertical="center"/>
    </xf>
    <xf numFmtId="0" fontId="7" fillId="56" borderId="0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56" borderId="0" xfId="0" applyFont="1" applyFill="1" applyAlignment="1">
      <alignment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0" fontId="41" fillId="0" borderId="0" xfId="105" applyFill="1" applyAlignment="1">
      <alignment horizontal="left" indent="1"/>
      <protection/>
    </xf>
    <xf numFmtId="3" fontId="41" fillId="0" borderId="0" xfId="105" applyNumberFormat="1">
      <alignment/>
      <protection/>
    </xf>
    <xf numFmtId="3" fontId="61" fillId="2" borderId="22" xfId="105" applyNumberFormat="1" applyFont="1" applyFill="1" applyBorder="1">
      <alignment/>
      <protection/>
    </xf>
    <xf numFmtId="0" fontId="33" fillId="0" borderId="0" xfId="0" applyFont="1" applyAlignment="1">
      <alignment vertical="center"/>
    </xf>
    <xf numFmtId="3" fontId="9" fillId="2" borderId="2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173" fontId="1" fillId="0" borderId="24" xfId="0" applyNumberFormat="1" applyFont="1" applyBorder="1" applyAlignment="1">
      <alignment vertical="center"/>
    </xf>
    <xf numFmtId="3" fontId="15" fillId="55" borderId="23" xfId="108" applyNumberFormat="1" applyFont="1" applyFill="1" applyBorder="1" applyAlignment="1">
      <alignment vertical="center" wrapText="1"/>
      <protection/>
    </xf>
    <xf numFmtId="173" fontId="15" fillId="55" borderId="24" xfId="108" applyNumberFormat="1" applyFont="1" applyFill="1" applyBorder="1" applyAlignment="1">
      <alignment vertical="center" wrapText="1"/>
      <protection/>
    </xf>
    <xf numFmtId="3" fontId="59" fillId="2" borderId="25" xfId="113" applyNumberFormat="1" applyFont="1" applyFill="1" applyBorder="1" applyAlignment="1">
      <alignment vertical="center" wrapText="1"/>
      <protection/>
    </xf>
    <xf numFmtId="173" fontId="59" fillId="2" borderId="26" xfId="113" applyNumberFormat="1" applyFont="1" applyFill="1" applyBorder="1" applyAlignment="1">
      <alignment vertical="center" wrapText="1"/>
      <protection/>
    </xf>
    <xf numFmtId="3" fontId="41" fillId="0" borderId="0" xfId="105" applyNumberFormat="1" applyFont="1">
      <alignment/>
      <protection/>
    </xf>
    <xf numFmtId="0" fontId="6" fillId="2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9" fillId="2" borderId="22" xfId="0" applyNumberFormat="1" applyFont="1" applyFill="1" applyBorder="1" applyAlignment="1">
      <alignment horizontal="right" vertical="center"/>
    </xf>
    <xf numFmtId="0" fontId="15" fillId="0" borderId="22" xfId="108" applyFont="1" applyBorder="1" applyAlignment="1">
      <alignment vertical="center" wrapText="1"/>
      <protection/>
    </xf>
    <xf numFmtId="3" fontId="2" fillId="0" borderId="22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</cellXfs>
  <cellStyles count="123">
    <cellStyle name="Normal" xfId="0"/>
    <cellStyle name="20 % - Accent1" xfId="15"/>
    <cellStyle name="20 % - Accent1 2" xfId="16"/>
    <cellStyle name="20 % - Accent1 2 2" xfId="17"/>
    <cellStyle name="20 % - Accent2" xfId="18"/>
    <cellStyle name="20 % - Accent2 2" xfId="19"/>
    <cellStyle name="20 % - Accent2 2 2" xfId="20"/>
    <cellStyle name="20 % - Accent3" xfId="21"/>
    <cellStyle name="20 % - Accent3 2" xfId="22"/>
    <cellStyle name="20 % - Accent3 2 2" xfId="23"/>
    <cellStyle name="20 % - Accent4" xfId="24"/>
    <cellStyle name="20 % - Accent4 2" xfId="25"/>
    <cellStyle name="20 % - Accent4 2 2" xfId="26"/>
    <cellStyle name="20 % - Accent5" xfId="27"/>
    <cellStyle name="20 % - Accent5 2" xfId="28"/>
    <cellStyle name="20 % - Accent5 2 2" xfId="29"/>
    <cellStyle name="20 % - Accent6" xfId="30"/>
    <cellStyle name="20 % - Accent6 2" xfId="31"/>
    <cellStyle name="20 % - Accent6 2 2" xfId="32"/>
    <cellStyle name="40 % - Accent1" xfId="33"/>
    <cellStyle name="40 % - Accent1 2" xfId="34"/>
    <cellStyle name="40 % - Accent1 2 2" xfId="35"/>
    <cellStyle name="40 % - Accent2" xfId="36"/>
    <cellStyle name="40 % - Accent2 2" xfId="37"/>
    <cellStyle name="40 % - Accent2 2 2" xfId="38"/>
    <cellStyle name="40 % - Accent3" xfId="39"/>
    <cellStyle name="40 % - Accent3 2" xfId="40"/>
    <cellStyle name="40 % - Accent3 2 2" xfId="41"/>
    <cellStyle name="40 % - Accent4" xfId="42"/>
    <cellStyle name="40 % - Accent4 2" xfId="43"/>
    <cellStyle name="40 % - Accent4 2 2" xfId="44"/>
    <cellStyle name="40 % - Accent5" xfId="45"/>
    <cellStyle name="40 % - Accent5 2" xfId="46"/>
    <cellStyle name="40 % - Accent5 2 2" xfId="47"/>
    <cellStyle name="40 % - Accent6" xfId="48"/>
    <cellStyle name="40 % - Accent6 2" xfId="49"/>
    <cellStyle name="40 % - Accent6 2 2" xfId="50"/>
    <cellStyle name="60 % - Accent1" xfId="51"/>
    <cellStyle name="60 % - Accent1 2" xfId="52"/>
    <cellStyle name="60 % - Accent2" xfId="53"/>
    <cellStyle name="60 % - Accent2 2" xfId="54"/>
    <cellStyle name="60 % - Accent3" xfId="55"/>
    <cellStyle name="60 % - Accent3 2" xfId="56"/>
    <cellStyle name="60 % - Accent4" xfId="57"/>
    <cellStyle name="60 % - Accent4 2" xfId="58"/>
    <cellStyle name="60 % - Accent5" xfId="59"/>
    <cellStyle name="60 % - Accent5 2" xfId="60"/>
    <cellStyle name="60 % - Accent6" xfId="61"/>
    <cellStyle name="60 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Avertissement" xfId="75"/>
    <cellStyle name="Avertissement 2" xfId="76"/>
    <cellStyle name="Calcul" xfId="77"/>
    <cellStyle name="Calcul 2" xfId="78"/>
    <cellStyle name="Cellule liée" xfId="79"/>
    <cellStyle name="Cellule liée 2" xfId="80"/>
    <cellStyle name="Commentaire" xfId="81"/>
    <cellStyle name="Commentaire 2" xfId="82"/>
    <cellStyle name="Commentaire 2 2" xfId="83"/>
    <cellStyle name="Commentaire 2 2 2" xfId="84"/>
    <cellStyle name="Commentaire 2 3" xfId="85"/>
    <cellStyle name="Commentaire 3" xfId="86"/>
    <cellStyle name="Commentaire 3 2" xfId="87"/>
    <cellStyle name="Commentaire 3 3" xfId="88"/>
    <cellStyle name="Entrée" xfId="89"/>
    <cellStyle name="Entrée 2" xfId="90"/>
    <cellStyle name="Euro" xfId="91"/>
    <cellStyle name="Euro 2" xfId="92"/>
    <cellStyle name="Euro 2 2" xfId="93"/>
    <cellStyle name="Insatisfaisant" xfId="94"/>
    <cellStyle name="Insatisfaisant 2" xfId="95"/>
    <cellStyle name="Hyperlink" xfId="96"/>
    <cellStyle name="Followed Hyperlink" xfId="97"/>
    <cellStyle name="Comma" xfId="98"/>
    <cellStyle name="Comma [0]" xfId="99"/>
    <cellStyle name="Currency" xfId="100"/>
    <cellStyle name="Currency [0]" xfId="101"/>
    <cellStyle name="Neutre" xfId="102"/>
    <cellStyle name="Neutre 2" xfId="103"/>
    <cellStyle name="Normal 2" xfId="104"/>
    <cellStyle name="Normal 2 2" xfId="105"/>
    <cellStyle name="Normal 2 2 2" xfId="106"/>
    <cellStyle name="Normal 3" xfId="107"/>
    <cellStyle name="Normal 3 2" xfId="108"/>
    <cellStyle name="Normal 3 2 2" xfId="109"/>
    <cellStyle name="Normal 3 3" xfId="110"/>
    <cellStyle name="Normal 3 4" xfId="111"/>
    <cellStyle name="Normal 4" xfId="112"/>
    <cellStyle name="Normal_rp96pop" xfId="113"/>
    <cellStyle name="Percent" xfId="114"/>
    <cellStyle name="Pourcentage 2" xfId="115"/>
    <cellStyle name="Pourcentage 2 2" xfId="116"/>
    <cellStyle name="Satisfaisant" xfId="117"/>
    <cellStyle name="Satisfaisant 2" xfId="118"/>
    <cellStyle name="Sortie" xfId="119"/>
    <cellStyle name="Sortie 2" xfId="120"/>
    <cellStyle name="Texte explicatif" xfId="121"/>
    <cellStyle name="Texte explicatif 2" xfId="122"/>
    <cellStyle name="Titre" xfId="123"/>
    <cellStyle name="Titre 2" xfId="124"/>
    <cellStyle name="Titre 1" xfId="125"/>
    <cellStyle name="Titre 1 2" xfId="126"/>
    <cellStyle name="Titre 2" xfId="127"/>
    <cellStyle name="Titre 2 2" xfId="128"/>
    <cellStyle name="Titre 3" xfId="129"/>
    <cellStyle name="Titre 3 2" xfId="130"/>
    <cellStyle name="Titre 4" xfId="131"/>
    <cellStyle name="Titre 4 2" xfId="132"/>
    <cellStyle name="Total" xfId="133"/>
    <cellStyle name="Total 2" xfId="134"/>
    <cellStyle name="Vérification" xfId="135"/>
    <cellStyle name="Vérification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37.140625" style="0" customWidth="1"/>
    <col min="2" max="2" width="121.28125" style="0" customWidth="1"/>
  </cols>
  <sheetData>
    <row r="2" spans="1:2" ht="19.5">
      <c r="A2" s="4" t="s">
        <v>128</v>
      </c>
      <c r="B2" s="35"/>
    </row>
    <row r="4" ht="12.75">
      <c r="A4" s="53" t="s">
        <v>158</v>
      </c>
    </row>
    <row r="5" ht="12.75">
      <c r="A5" s="71" t="s">
        <v>166</v>
      </c>
    </row>
    <row r="6" ht="12.75">
      <c r="A6" s="71"/>
    </row>
    <row r="7" spans="1:2" ht="14.25">
      <c r="A7" s="51" t="s">
        <v>129</v>
      </c>
      <c r="B7" s="51" t="s">
        <v>134</v>
      </c>
    </row>
    <row r="8" spans="1:2" ht="15">
      <c r="A8" s="50"/>
      <c r="B8" s="52"/>
    </row>
    <row r="9" spans="1:2" ht="14.25">
      <c r="A9" s="51" t="s">
        <v>130</v>
      </c>
      <c r="B9" s="51" t="s">
        <v>133</v>
      </c>
    </row>
    <row r="10" spans="1:2" ht="15">
      <c r="A10" s="50"/>
      <c r="B10" s="52"/>
    </row>
    <row r="11" spans="1:2" ht="14.25">
      <c r="A11" s="51" t="s">
        <v>131</v>
      </c>
      <c r="B11" s="51" t="s">
        <v>169</v>
      </c>
    </row>
    <row r="12" spans="1:2" ht="15">
      <c r="A12" s="50"/>
      <c r="B12" s="52"/>
    </row>
    <row r="13" spans="1:2" ht="14.25">
      <c r="A13" s="51" t="s">
        <v>132</v>
      </c>
      <c r="B13" s="51" t="s">
        <v>170</v>
      </c>
    </row>
    <row r="14" spans="1:2" ht="15">
      <c r="A14" s="50"/>
      <c r="B14" s="50"/>
    </row>
    <row r="15" spans="1:2" ht="14.25">
      <c r="A15" s="51" t="s">
        <v>157</v>
      </c>
      <c r="B15" s="51" t="s">
        <v>171</v>
      </c>
    </row>
  </sheetData>
  <sheetProtection/>
  <hyperlinks>
    <hyperlink ref="A7:B7" location="evolution!A1" display="evolution"/>
    <hyperlink ref="A9:B9" location="age!A1" display="age"/>
    <hyperlink ref="A11:B11" location="'GN quartier'!A1" display="GN quartier"/>
    <hyperlink ref="A13:B13" location="'GN gpe age'!A1" display="GN gpe age"/>
    <hyperlink ref="A15:B15" location="'GN gpe age'!A1" display="GN gpe age"/>
    <hyperlink ref="A15" location="'communauté d''appartenance'!A1" display="Communauté d'appartenance "/>
    <hyperlink ref="B15" location="'communauté d''appartenance'!A1" display="Population de 60 ans et plus selon la communauté d'appartenance et la tranche d'âge détaillé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1.421875" defaultRowHeight="12.75"/>
  <cols>
    <col min="1" max="1" width="24.00390625" style="0" customWidth="1"/>
    <col min="2" max="2" width="10.7109375" style="0" customWidth="1"/>
    <col min="3" max="3" width="11.8515625" style="22" customWidth="1"/>
    <col min="4" max="4" width="10.7109375" style="0" customWidth="1"/>
    <col min="5" max="5" width="11.8515625" style="22" customWidth="1"/>
    <col min="6" max="6" width="10.7109375" style="0" customWidth="1"/>
    <col min="7" max="7" width="11.8515625" style="22" customWidth="1"/>
    <col min="8" max="8" width="10.7109375" style="0" customWidth="1"/>
    <col min="9" max="9" width="11.8515625" style="22" customWidth="1"/>
    <col min="10" max="10" width="10.7109375" style="0" customWidth="1"/>
    <col min="11" max="11" width="11.8515625" style="22" customWidth="1"/>
    <col min="12" max="12" width="10.7109375" style="0" customWidth="1"/>
    <col min="13" max="13" width="11.8515625" style="22" customWidth="1"/>
  </cols>
  <sheetData>
    <row r="1" spans="1:13" ht="15">
      <c r="A1" s="1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</row>
    <row r="2" spans="1:15" ht="19.5">
      <c r="A2" s="4" t="s">
        <v>134</v>
      </c>
      <c r="B2" s="21"/>
      <c r="C2" s="21"/>
      <c r="D2" s="21"/>
      <c r="E2" s="21"/>
      <c r="F2" s="5"/>
      <c r="G2" s="25"/>
      <c r="H2" s="6"/>
      <c r="I2" s="25"/>
      <c r="J2" s="5"/>
      <c r="K2" s="25"/>
      <c r="L2" s="6"/>
      <c r="M2" s="25"/>
      <c r="N2" s="34"/>
      <c r="O2" s="35"/>
    </row>
    <row r="3" spans="1:13" ht="15">
      <c r="A3" s="1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</row>
    <row r="4" spans="1:13" ht="15">
      <c r="A4" s="7" t="s">
        <v>50</v>
      </c>
      <c r="B4" s="7"/>
      <c r="C4" s="8"/>
      <c r="D4" s="7"/>
      <c r="E4" s="8"/>
      <c r="F4" s="1"/>
      <c r="G4" s="2"/>
      <c r="H4" s="1"/>
      <c r="I4" s="2"/>
      <c r="J4" s="1"/>
      <c r="K4" s="2"/>
      <c r="L4" s="1"/>
      <c r="M4" s="2"/>
    </row>
    <row r="5" spans="1:13" ht="15">
      <c r="A5" s="1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</row>
    <row r="6" spans="1:15" ht="17.25">
      <c r="A6" s="1"/>
      <c r="B6" s="94" t="s">
        <v>51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7" ht="17.25">
      <c r="A7" s="27"/>
      <c r="B7" s="93">
        <v>1976</v>
      </c>
      <c r="C7" s="93"/>
      <c r="D7" s="93">
        <v>1983</v>
      </c>
      <c r="E7" s="93"/>
      <c r="F7" s="93">
        <v>1989</v>
      </c>
      <c r="G7" s="93"/>
      <c r="H7" s="93">
        <v>1996</v>
      </c>
      <c r="I7" s="93"/>
      <c r="J7" s="93">
        <v>2004</v>
      </c>
      <c r="K7" s="93"/>
      <c r="L7" s="93">
        <v>2009</v>
      </c>
      <c r="M7" s="93"/>
      <c r="N7" s="93">
        <v>2014</v>
      </c>
      <c r="O7" s="93"/>
      <c r="P7" s="93">
        <v>2019</v>
      </c>
      <c r="Q7" s="93"/>
    </row>
    <row r="8" spans="1:17" ht="47.25">
      <c r="A8" s="28"/>
      <c r="B8" s="29" t="s">
        <v>54</v>
      </c>
      <c r="C8" s="29" t="s">
        <v>49</v>
      </c>
      <c r="D8" s="29" t="s">
        <v>54</v>
      </c>
      <c r="E8" s="29" t="s">
        <v>49</v>
      </c>
      <c r="F8" s="29" t="s">
        <v>54</v>
      </c>
      <c r="G8" s="29" t="s">
        <v>49</v>
      </c>
      <c r="H8" s="29" t="s">
        <v>54</v>
      </c>
      <c r="I8" s="29" t="s">
        <v>49</v>
      </c>
      <c r="J8" s="29" t="s">
        <v>54</v>
      </c>
      <c r="K8" s="29" t="s">
        <v>49</v>
      </c>
      <c r="L8" s="29" t="s">
        <v>54</v>
      </c>
      <c r="M8" s="29" t="s">
        <v>49</v>
      </c>
      <c r="N8" s="29" t="s">
        <v>54</v>
      </c>
      <c r="O8" s="29" t="s">
        <v>49</v>
      </c>
      <c r="P8" s="29" t="s">
        <v>54</v>
      </c>
      <c r="Q8" s="29" t="s">
        <v>49</v>
      </c>
    </row>
    <row r="9" spans="1:15" ht="17.25">
      <c r="A9" s="14"/>
      <c r="B9" s="18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7" ht="15">
      <c r="A10" s="10" t="s">
        <v>13</v>
      </c>
      <c r="B10" s="18">
        <f>24+20</f>
        <v>44</v>
      </c>
      <c r="C10" s="24">
        <f>B10/624*100</f>
        <v>7.051282051282051</v>
      </c>
      <c r="D10" s="18">
        <f>25+12+2</f>
        <v>39</v>
      </c>
      <c r="E10" s="24">
        <f>D10/686*100</f>
        <v>5.685131195335277</v>
      </c>
      <c r="F10" s="18">
        <v>51</v>
      </c>
      <c r="G10" s="24">
        <v>6.845637583892618</v>
      </c>
      <c r="H10" s="18">
        <v>80</v>
      </c>
      <c r="I10" s="24">
        <v>8.66738894907909</v>
      </c>
      <c r="J10" s="18">
        <v>75</v>
      </c>
      <c r="K10" s="24">
        <v>8.064516129032258</v>
      </c>
      <c r="L10" s="18">
        <v>94</v>
      </c>
      <c r="M10" s="24">
        <v>10.502793296089386</v>
      </c>
      <c r="N10" s="18">
        <v>108</v>
      </c>
      <c r="O10" s="24">
        <v>12.811387900355871</v>
      </c>
      <c r="P10" s="18">
        <v>120</v>
      </c>
      <c r="Q10" s="24">
        <v>13.84083044982699</v>
      </c>
    </row>
    <row r="11" spans="1:17" ht="15">
      <c r="A11" s="10" t="s">
        <v>30</v>
      </c>
      <c r="B11" s="18">
        <f>53+35</f>
        <v>88</v>
      </c>
      <c r="C11" s="24">
        <f>B11/925*100</f>
        <v>9.513513513513514</v>
      </c>
      <c r="D11" s="18">
        <f>69+32+6</f>
        <v>107</v>
      </c>
      <c r="E11" s="24">
        <f>D11/1139*100</f>
        <v>9.394205443371378</v>
      </c>
      <c r="F11" s="18">
        <v>135</v>
      </c>
      <c r="G11" s="24">
        <v>9.271978021978022</v>
      </c>
      <c r="H11" s="18">
        <v>177</v>
      </c>
      <c r="I11" s="24">
        <v>11.125078566939033</v>
      </c>
      <c r="J11" s="18">
        <v>293</v>
      </c>
      <c r="K11" s="24">
        <v>14.025849688846337</v>
      </c>
      <c r="L11" s="18">
        <v>389</v>
      </c>
      <c r="M11" s="24">
        <v>16.08767576509512</v>
      </c>
      <c r="N11" s="18">
        <v>573</v>
      </c>
      <c r="O11" s="24">
        <v>19.06821963394343</v>
      </c>
      <c r="P11" s="18">
        <v>778</v>
      </c>
      <c r="Q11" s="24">
        <v>23.469079939668173</v>
      </c>
    </row>
    <row r="12" spans="1:17" ht="15">
      <c r="A12" s="10" t="s">
        <v>31</v>
      </c>
      <c r="B12" s="18">
        <f>156+144</f>
        <v>300</v>
      </c>
      <c r="C12" s="24">
        <f>B12/3149*100</f>
        <v>9.526833915528739</v>
      </c>
      <c r="D12" s="18">
        <f>186+115+24</f>
        <v>325</v>
      </c>
      <c r="E12" s="24">
        <f>D12/3410*100</f>
        <v>9.530791788856305</v>
      </c>
      <c r="F12" s="18">
        <v>351</v>
      </c>
      <c r="G12" s="24">
        <v>8.51528384279476</v>
      </c>
      <c r="H12" s="18">
        <v>410</v>
      </c>
      <c r="I12" s="24">
        <v>9.395050412465627</v>
      </c>
      <c r="J12" s="18">
        <v>596</v>
      </c>
      <c r="K12" s="24">
        <v>12.471228290437331</v>
      </c>
      <c r="L12" s="18">
        <v>623</v>
      </c>
      <c r="M12" s="24">
        <v>12.4624924984997</v>
      </c>
      <c r="N12" s="18">
        <v>788</v>
      </c>
      <c r="O12" s="24">
        <v>14.474650991917706</v>
      </c>
      <c r="P12" s="18">
        <v>955</v>
      </c>
      <c r="Q12" s="24">
        <v>17.266317121677815</v>
      </c>
    </row>
    <row r="13" spans="1:17" ht="15">
      <c r="A13" s="10" t="s">
        <v>14</v>
      </c>
      <c r="B13" s="18">
        <f>116+108</f>
        <v>224</v>
      </c>
      <c r="C13" s="24">
        <f>B13/3884*100</f>
        <v>5.76725025746653</v>
      </c>
      <c r="D13" s="18">
        <f>144+53+18</f>
        <v>215</v>
      </c>
      <c r="E13" s="24">
        <f>D13/3842*100</f>
        <v>5.596043727225403</v>
      </c>
      <c r="F13" s="18">
        <v>233</v>
      </c>
      <c r="G13" s="24">
        <v>5.874936964195663</v>
      </c>
      <c r="H13" s="18">
        <v>228</v>
      </c>
      <c r="I13" s="24">
        <v>6.757557794902193</v>
      </c>
      <c r="J13" s="18">
        <v>237</v>
      </c>
      <c r="K13" s="24">
        <v>6.748291571753986</v>
      </c>
      <c r="L13" s="18">
        <v>274</v>
      </c>
      <c r="M13" s="24">
        <v>8.20113738401676</v>
      </c>
      <c r="N13" s="18">
        <v>366</v>
      </c>
      <c r="O13" s="24">
        <v>9.926769731489015</v>
      </c>
      <c r="P13" s="18">
        <v>447</v>
      </c>
      <c r="Q13" s="24">
        <v>12.077816806268576</v>
      </c>
    </row>
    <row r="14" spans="1:17" ht="15">
      <c r="A14" s="10" t="s">
        <v>32</v>
      </c>
      <c r="B14" s="18">
        <f>87+74</f>
        <v>161</v>
      </c>
      <c r="C14" s="24">
        <f>B14/4191*100</f>
        <v>3.8415652588880937</v>
      </c>
      <c r="D14" s="18">
        <f>180+49+13</f>
        <v>242</v>
      </c>
      <c r="E14" s="24">
        <f>D14/5538*100</f>
        <v>4.369808595160707</v>
      </c>
      <c r="F14" s="18">
        <v>476</v>
      </c>
      <c r="G14" s="24">
        <v>4.735376044568245</v>
      </c>
      <c r="H14" s="18">
        <v>796</v>
      </c>
      <c r="I14" s="24">
        <v>5.731566820276498</v>
      </c>
      <c r="J14" s="18">
        <v>1450</v>
      </c>
      <c r="K14" s="24">
        <v>7.794860767659391</v>
      </c>
      <c r="L14" s="18">
        <v>2263</v>
      </c>
      <c r="M14" s="24">
        <v>9.38887275442891</v>
      </c>
      <c r="N14" s="18">
        <v>3266</v>
      </c>
      <c r="O14" s="24">
        <v>10.266566075694707</v>
      </c>
      <c r="P14" s="18">
        <v>4456</v>
      </c>
      <c r="Q14" s="24">
        <v>12.421598416636467</v>
      </c>
    </row>
    <row r="15" spans="1:17" ht="15">
      <c r="A15" s="10" t="s">
        <v>33</v>
      </c>
      <c r="B15" s="18">
        <f>18+19</f>
        <v>37</v>
      </c>
      <c r="C15" s="24">
        <f>B15/194*100</f>
        <v>19.072164948453608</v>
      </c>
      <c r="D15" s="18">
        <f>16+15+3</f>
        <v>34</v>
      </c>
      <c r="E15" s="24">
        <f>D15/253*100</f>
        <v>13.438735177865613</v>
      </c>
      <c r="F15" s="18">
        <v>45</v>
      </c>
      <c r="G15" s="24">
        <v>18.9873417721519</v>
      </c>
      <c r="H15" s="18">
        <v>39</v>
      </c>
      <c r="I15" s="24">
        <v>13.978494623655912</v>
      </c>
      <c r="J15" s="18">
        <v>58</v>
      </c>
      <c r="K15" s="24">
        <v>12.636165577342048</v>
      </c>
      <c r="L15" s="18">
        <v>79</v>
      </c>
      <c r="M15" s="24">
        <v>13.210702341137123</v>
      </c>
      <c r="N15" s="18">
        <v>114</v>
      </c>
      <c r="O15" s="24">
        <v>18.627450980392158</v>
      </c>
      <c r="P15" s="18">
        <v>145</v>
      </c>
      <c r="Q15" s="24">
        <v>20.365168539325843</v>
      </c>
    </row>
    <row r="16" spans="1:17" ht="15">
      <c r="A16" s="10" t="s">
        <v>15</v>
      </c>
      <c r="B16" s="18">
        <f>68+67</f>
        <v>135</v>
      </c>
      <c r="C16" s="24">
        <f>B16/1932*100</f>
        <v>6.987577639751552</v>
      </c>
      <c r="D16" s="18">
        <f>68+16+8</f>
        <v>92</v>
      </c>
      <c r="E16" s="24">
        <f>D16/1729*100</f>
        <v>5.320994794679005</v>
      </c>
      <c r="F16" s="18">
        <v>123</v>
      </c>
      <c r="G16" s="24">
        <v>5.796418473138549</v>
      </c>
      <c r="H16" s="18">
        <v>147</v>
      </c>
      <c r="I16" s="24">
        <v>6.657608695652175</v>
      </c>
      <c r="J16" s="18">
        <v>217</v>
      </c>
      <c r="K16" s="24">
        <v>8.260373049105443</v>
      </c>
      <c r="L16" s="18">
        <v>246</v>
      </c>
      <c r="M16" s="24">
        <v>10.254272613588995</v>
      </c>
      <c r="N16" s="18">
        <v>295</v>
      </c>
      <c r="O16" s="24">
        <v>11.880789367700363</v>
      </c>
      <c r="P16" s="18">
        <v>345</v>
      </c>
      <c r="Q16" s="24">
        <v>14.058679706601469</v>
      </c>
    </row>
    <row r="17" spans="1:17" ht="15">
      <c r="A17" s="10" t="s">
        <v>16</v>
      </c>
      <c r="B17" s="18">
        <f>127+98</f>
        <v>225</v>
      </c>
      <c r="C17" s="24">
        <f>B17/3853*100</f>
        <v>5.839605502206073</v>
      </c>
      <c r="D17" s="18">
        <f>150+63+16</f>
        <v>229</v>
      </c>
      <c r="E17" s="24">
        <f>D17/3995*100</f>
        <v>5.732165206508135</v>
      </c>
      <c r="F17" s="18">
        <v>223</v>
      </c>
      <c r="G17" s="24">
        <v>6.074639062925633</v>
      </c>
      <c r="H17" s="18">
        <v>292</v>
      </c>
      <c r="I17" s="24">
        <v>6.740535549399815</v>
      </c>
      <c r="J17" s="18">
        <v>375</v>
      </c>
      <c r="K17" s="24">
        <v>8.265373594886489</v>
      </c>
      <c r="L17" s="18">
        <v>379</v>
      </c>
      <c r="M17" s="24">
        <v>9.607097591888467</v>
      </c>
      <c r="N17" s="18">
        <v>448</v>
      </c>
      <c r="O17" s="24">
        <v>10.566037735849058</v>
      </c>
      <c r="P17" s="18">
        <v>454</v>
      </c>
      <c r="Q17" s="24">
        <v>11.47914032869785</v>
      </c>
    </row>
    <row r="18" spans="1:17" ht="15">
      <c r="A18" s="10" t="s">
        <v>34</v>
      </c>
      <c r="B18" s="18">
        <f>29+37</f>
        <v>66</v>
      </c>
      <c r="C18" s="24">
        <f>B18/1095*100</f>
        <v>6.027397260273973</v>
      </c>
      <c r="D18" s="18">
        <f>45+15+7</f>
        <v>67</v>
      </c>
      <c r="E18" s="24">
        <f>D18/1287*100</f>
        <v>5.205905205905205</v>
      </c>
      <c r="F18" s="18">
        <v>92</v>
      </c>
      <c r="G18" s="24">
        <v>6.279863481228669</v>
      </c>
      <c r="H18" s="18">
        <v>119</v>
      </c>
      <c r="I18" s="24">
        <v>7.121484141232795</v>
      </c>
      <c r="J18" s="18">
        <v>138</v>
      </c>
      <c r="K18" s="24">
        <v>7.5</v>
      </c>
      <c r="L18" s="18">
        <v>169</v>
      </c>
      <c r="M18" s="24">
        <v>8.583037074657186</v>
      </c>
      <c r="N18" s="18">
        <v>201</v>
      </c>
      <c r="O18" s="24">
        <v>10.265577119509704</v>
      </c>
      <c r="P18" s="18">
        <v>234</v>
      </c>
      <c r="Q18" s="24">
        <v>11.487481590574374</v>
      </c>
    </row>
    <row r="19" spans="1:17" ht="15">
      <c r="A19" s="10" t="s">
        <v>17</v>
      </c>
      <c r="B19" s="18">
        <f>36+31</f>
        <v>67</v>
      </c>
      <c r="C19" s="24">
        <f>B19/1425*100</f>
        <v>4.701754385964913</v>
      </c>
      <c r="D19" s="18">
        <f>54+19+3</f>
        <v>76</v>
      </c>
      <c r="E19" s="24">
        <f>D19/1231*100</f>
        <v>6.173842404549148</v>
      </c>
      <c r="F19" s="18">
        <v>100</v>
      </c>
      <c r="G19" s="24">
        <v>6.45577792123951</v>
      </c>
      <c r="H19" s="18">
        <v>144</v>
      </c>
      <c r="I19" s="24">
        <v>8.058198097369894</v>
      </c>
      <c r="J19" s="18">
        <v>176</v>
      </c>
      <c r="K19" s="24">
        <v>9.35672514619883</v>
      </c>
      <c r="L19" s="18">
        <v>200</v>
      </c>
      <c r="M19" s="24">
        <v>10.357327809425168</v>
      </c>
      <c r="N19" s="18">
        <v>239</v>
      </c>
      <c r="O19" s="24">
        <v>11.756025577963602</v>
      </c>
      <c r="P19" s="18">
        <v>245</v>
      </c>
      <c r="Q19" s="24">
        <v>13.588463671658346</v>
      </c>
    </row>
    <row r="20" spans="1:17" ht="15">
      <c r="A20" s="10" t="s">
        <v>18</v>
      </c>
      <c r="B20" s="18">
        <f>80+70</f>
        <v>150</v>
      </c>
      <c r="C20" s="24">
        <f>B20/2479*100</f>
        <v>6.050826946349335</v>
      </c>
      <c r="D20" s="18">
        <f>120+56+10</f>
        <v>186</v>
      </c>
      <c r="E20" s="24">
        <f>D20/2919*100</f>
        <v>6.3720452209660845</v>
      </c>
      <c r="F20" s="18">
        <v>185</v>
      </c>
      <c r="G20" s="24">
        <v>6.337786913326482</v>
      </c>
      <c r="H20" s="18">
        <v>234</v>
      </c>
      <c r="I20" s="24">
        <v>5.724070450097847</v>
      </c>
      <c r="J20" s="18">
        <v>302</v>
      </c>
      <c r="K20" s="24">
        <v>6.71111111111111</v>
      </c>
      <c r="L20" s="18">
        <v>405</v>
      </c>
      <c r="M20" s="24">
        <v>7.789959607616849</v>
      </c>
      <c r="N20" s="18">
        <v>526</v>
      </c>
      <c r="O20" s="24">
        <v>7.166212534059946</v>
      </c>
      <c r="P20" s="18">
        <v>657</v>
      </c>
      <c r="Q20" s="24">
        <v>8.06728880157171</v>
      </c>
    </row>
    <row r="21" spans="1:17" ht="15">
      <c r="A21" s="10" t="s">
        <v>19</v>
      </c>
      <c r="B21" s="11" t="s">
        <v>52</v>
      </c>
      <c r="C21" s="12" t="s">
        <v>52</v>
      </c>
      <c r="D21" s="18"/>
      <c r="E21" s="24"/>
      <c r="F21" s="18"/>
      <c r="G21" s="24"/>
      <c r="H21" s="18">
        <v>60</v>
      </c>
      <c r="I21" s="24">
        <v>3.937007874015748</v>
      </c>
      <c r="J21" s="18">
        <v>87</v>
      </c>
      <c r="K21" s="24">
        <v>5.485498108448928</v>
      </c>
      <c r="L21" s="18">
        <v>110</v>
      </c>
      <c r="M21" s="24">
        <v>8.178438661710038</v>
      </c>
      <c r="N21" s="18">
        <v>138</v>
      </c>
      <c r="O21" s="24">
        <v>9.50413223140496</v>
      </c>
      <c r="P21" s="18">
        <v>124</v>
      </c>
      <c r="Q21" s="24">
        <v>9.509202453987731</v>
      </c>
    </row>
    <row r="22" spans="1:17" ht="15">
      <c r="A22" s="10" t="s">
        <v>20</v>
      </c>
      <c r="B22" s="18">
        <f>81+71</f>
        <v>152</v>
      </c>
      <c r="C22" s="24">
        <f>B22/2481*100</f>
        <v>6.1265618702136235</v>
      </c>
      <c r="D22" s="18">
        <f>50+22+14</f>
        <v>86</v>
      </c>
      <c r="E22" s="24">
        <f>D22/1405*100</f>
        <v>6.120996441281139</v>
      </c>
      <c r="F22" s="18">
        <v>123</v>
      </c>
      <c r="G22" s="24">
        <v>5.60619872379216</v>
      </c>
      <c r="H22" s="18">
        <v>170</v>
      </c>
      <c r="I22" s="24">
        <v>6.422364941443143</v>
      </c>
      <c r="J22" s="18">
        <v>241</v>
      </c>
      <c r="K22" s="24">
        <v>8.025308025308025</v>
      </c>
      <c r="L22" s="18">
        <v>321</v>
      </c>
      <c r="M22" s="24">
        <v>8.699186991869919</v>
      </c>
      <c r="N22" s="18">
        <v>423</v>
      </c>
      <c r="O22" s="24">
        <v>9.948259642521167</v>
      </c>
      <c r="P22" s="18">
        <v>473</v>
      </c>
      <c r="Q22" s="24">
        <v>11.881436824918362</v>
      </c>
    </row>
    <row r="23" spans="1:17" ht="15">
      <c r="A23" s="10" t="s">
        <v>35</v>
      </c>
      <c r="B23" s="18">
        <f>83+74</f>
        <v>157</v>
      </c>
      <c r="C23" s="24">
        <f>B23/1993*100</f>
        <v>7.877571500250878</v>
      </c>
      <c r="D23" s="18">
        <f>122+60+17</f>
        <v>199</v>
      </c>
      <c r="E23" s="24">
        <f>D23/2094*100</f>
        <v>9.50334288443171</v>
      </c>
      <c r="F23" s="18">
        <v>211</v>
      </c>
      <c r="G23" s="24">
        <v>9.791183294663574</v>
      </c>
      <c r="H23" s="18">
        <v>252</v>
      </c>
      <c r="I23" s="24">
        <v>10.071942446043165</v>
      </c>
      <c r="J23" s="18">
        <v>361</v>
      </c>
      <c r="K23" s="24">
        <v>12.435411643127798</v>
      </c>
      <c r="L23" s="18">
        <v>471</v>
      </c>
      <c r="M23" s="24">
        <v>14.173939211555822</v>
      </c>
      <c r="N23" s="18">
        <v>560</v>
      </c>
      <c r="O23" s="24">
        <v>15.810276679841898</v>
      </c>
      <c r="P23" s="18">
        <v>648</v>
      </c>
      <c r="Q23" s="24">
        <v>18.243243243243242</v>
      </c>
    </row>
    <row r="24" spans="1:17" ht="15">
      <c r="A24" s="10" t="s">
        <v>9</v>
      </c>
      <c r="B24" s="18">
        <f>256+310</f>
        <v>566</v>
      </c>
      <c r="C24" s="24">
        <f>B24/7585*100</f>
        <v>7.462096242584047</v>
      </c>
      <c r="D24" s="18">
        <f>350+202+36</f>
        <v>588</v>
      </c>
      <c r="E24" s="24">
        <f>D24/8128*100</f>
        <v>7.234251968503937</v>
      </c>
      <c r="F24" s="18">
        <v>694</v>
      </c>
      <c r="G24" s="24">
        <v>7.953243181297273</v>
      </c>
      <c r="H24" s="18">
        <v>757</v>
      </c>
      <c r="I24" s="24">
        <v>7.564704706705307</v>
      </c>
      <c r="J24" s="18">
        <v>960</v>
      </c>
      <c r="K24" s="24">
        <v>9.30232558139535</v>
      </c>
      <c r="L24" s="18">
        <v>894</v>
      </c>
      <c r="M24" s="24">
        <v>10.362814419844673</v>
      </c>
      <c r="N24" s="18">
        <v>1150</v>
      </c>
      <c r="O24" s="24">
        <v>12.398921832884097</v>
      </c>
      <c r="P24" s="18">
        <v>1340</v>
      </c>
      <c r="Q24" s="24">
        <v>14.573137574768896</v>
      </c>
    </row>
    <row r="25" spans="1:17" ht="15">
      <c r="A25" s="10" t="s">
        <v>10</v>
      </c>
      <c r="B25" s="18">
        <f>139+135</f>
        <v>274</v>
      </c>
      <c r="C25" s="24">
        <f>B25/4156*100</f>
        <v>6.592877767083734</v>
      </c>
      <c r="D25" s="18">
        <f>189+103+6</f>
        <v>298</v>
      </c>
      <c r="E25" s="24">
        <f>D25/4610*100</f>
        <v>6.464208242950109</v>
      </c>
      <c r="F25" s="18">
        <v>380</v>
      </c>
      <c r="G25" s="24">
        <v>6.730428622033298</v>
      </c>
      <c r="H25" s="18">
        <v>449</v>
      </c>
      <c r="I25" s="24">
        <v>6.511020881670533</v>
      </c>
      <c r="J25" s="18">
        <v>560</v>
      </c>
      <c r="K25" s="24">
        <v>7.566545061478179</v>
      </c>
      <c r="L25" s="18">
        <v>486</v>
      </c>
      <c r="M25" s="24">
        <v>8.971755584271737</v>
      </c>
      <c r="N25" s="18">
        <v>738</v>
      </c>
      <c r="O25" s="24">
        <v>13.066572237960338</v>
      </c>
      <c r="P25" s="18">
        <v>841</v>
      </c>
      <c r="Q25" s="24">
        <v>14.608302935556713</v>
      </c>
    </row>
    <row r="26" spans="1:17" ht="15">
      <c r="A26" s="10" t="s">
        <v>36</v>
      </c>
      <c r="B26" s="18">
        <f>24+17</f>
        <v>41</v>
      </c>
      <c r="C26" s="24">
        <f>B26/387*100</f>
        <v>10.594315245478036</v>
      </c>
      <c r="D26" s="18">
        <f>24+14+6</f>
        <v>44</v>
      </c>
      <c r="E26" s="24">
        <f>D26/378*100</f>
        <v>11.64021164021164</v>
      </c>
      <c r="F26" s="18">
        <v>60</v>
      </c>
      <c r="G26" s="24">
        <v>13.015184381778742</v>
      </c>
      <c r="H26" s="18">
        <v>70</v>
      </c>
      <c r="I26" s="24">
        <v>12.323943661971832</v>
      </c>
      <c r="J26" s="18">
        <v>74</v>
      </c>
      <c r="K26" s="24">
        <v>12.29235880398671</v>
      </c>
      <c r="L26" s="18">
        <v>107</v>
      </c>
      <c r="M26" s="24">
        <v>15.198863636363635</v>
      </c>
      <c r="N26" s="18">
        <v>127</v>
      </c>
      <c r="O26" s="24">
        <v>17.912552891396334</v>
      </c>
      <c r="P26" s="18">
        <v>144</v>
      </c>
      <c r="Q26" s="24">
        <v>21.145374449339208</v>
      </c>
    </row>
    <row r="27" spans="1:17" ht="15">
      <c r="A27" s="10" t="s">
        <v>37</v>
      </c>
      <c r="B27" s="18">
        <f>255+239</f>
        <v>494</v>
      </c>
      <c r="C27" s="24">
        <f>B27/10659*100</f>
        <v>4.634581105169341</v>
      </c>
      <c r="D27" s="18">
        <f>461+197+52</f>
        <v>710</v>
      </c>
      <c r="E27" s="24">
        <f>D27/14614*100</f>
        <v>4.858355002052826</v>
      </c>
      <c r="F27" s="18">
        <v>1047</v>
      </c>
      <c r="G27" s="24">
        <v>6.395846059865608</v>
      </c>
      <c r="H27" s="18">
        <v>1464</v>
      </c>
      <c r="I27" s="24">
        <v>7.045235803657363</v>
      </c>
      <c r="J27" s="18">
        <v>2272</v>
      </c>
      <c r="K27" s="24">
        <v>9.390369911138666</v>
      </c>
      <c r="L27" s="18">
        <v>2956</v>
      </c>
      <c r="M27" s="24">
        <v>11.509558852159016</v>
      </c>
      <c r="N27" s="18">
        <v>3637</v>
      </c>
      <c r="O27" s="24">
        <v>13.39348186337691</v>
      </c>
      <c r="P27" s="18">
        <v>4345</v>
      </c>
      <c r="Q27" s="24">
        <v>15.731354091238234</v>
      </c>
    </row>
    <row r="28" spans="1:17" ht="15">
      <c r="A28" s="10" t="s">
        <v>38</v>
      </c>
      <c r="B28" s="18">
        <f>(1662+1730)</f>
        <v>3392</v>
      </c>
      <c r="C28" s="24">
        <f>B28/56078*100</f>
        <v>6.048717857270231</v>
      </c>
      <c r="D28" s="18">
        <f>2204+1269+335</f>
        <v>3808</v>
      </c>
      <c r="E28" s="24">
        <f>D28/60112*100</f>
        <v>6.334841628959276</v>
      </c>
      <c r="F28" s="18">
        <v>4778</v>
      </c>
      <c r="G28" s="24">
        <v>7.338350483796652</v>
      </c>
      <c r="H28" s="18">
        <v>6228</v>
      </c>
      <c r="I28" s="24">
        <v>8.16326530612245</v>
      </c>
      <c r="J28" s="18">
        <v>9543</v>
      </c>
      <c r="K28" s="24">
        <v>10.442518547698771</v>
      </c>
      <c r="L28" s="18">
        <v>12427</v>
      </c>
      <c r="M28" s="24">
        <v>12.73532214923293</v>
      </c>
      <c r="N28" s="18">
        <v>14339</v>
      </c>
      <c r="O28" s="24">
        <v>14.34961871785121</v>
      </c>
      <c r="P28" s="18">
        <v>16074</v>
      </c>
      <c r="Q28" s="24">
        <v>17.048310972052818</v>
      </c>
    </row>
    <row r="29" spans="1:17" ht="15">
      <c r="A29" s="10" t="s">
        <v>21</v>
      </c>
      <c r="B29" s="18">
        <f>70+49</f>
        <v>119</v>
      </c>
      <c r="C29" s="24">
        <f>B29/1514*100</f>
        <v>7.85997357992074</v>
      </c>
      <c r="D29" s="18">
        <f>53+30+5</f>
        <v>88</v>
      </c>
      <c r="E29" s="24">
        <f>D29/1468*100</f>
        <v>5.994550408719346</v>
      </c>
      <c r="F29" s="18">
        <v>151</v>
      </c>
      <c r="G29" s="24">
        <v>8.027644869750134</v>
      </c>
      <c r="H29" s="18">
        <v>153</v>
      </c>
      <c r="I29" s="24">
        <v>7.52212389380531</v>
      </c>
      <c r="J29" s="18">
        <v>175</v>
      </c>
      <c r="K29" s="24">
        <v>8.27814569536424</v>
      </c>
      <c r="L29" s="18">
        <v>199</v>
      </c>
      <c r="M29" s="24">
        <v>9.333958724202626</v>
      </c>
      <c r="N29" s="18">
        <v>259</v>
      </c>
      <c r="O29" s="24">
        <v>10.974576271186441</v>
      </c>
      <c r="P29" s="18">
        <v>277</v>
      </c>
      <c r="Q29" s="24">
        <v>13.078375826251179</v>
      </c>
    </row>
    <row r="30" spans="1:17" ht="15">
      <c r="A30" s="10" t="s">
        <v>11</v>
      </c>
      <c r="B30" s="18">
        <f>78+115</f>
        <v>193</v>
      </c>
      <c r="C30" s="24">
        <f>B30/2777*100</f>
        <v>6.9499459848757645</v>
      </c>
      <c r="D30" s="18">
        <f>126+45+13</f>
        <v>184</v>
      </c>
      <c r="E30" s="24">
        <f>D30/2772*100</f>
        <v>6.637806637806638</v>
      </c>
      <c r="F30" s="18">
        <v>250</v>
      </c>
      <c r="G30" s="24">
        <v>7.062146892655368</v>
      </c>
      <c r="H30" s="18">
        <v>278</v>
      </c>
      <c r="I30" s="24">
        <v>6.995470558631102</v>
      </c>
      <c r="J30" s="18">
        <v>441</v>
      </c>
      <c r="K30" s="24">
        <v>10.116999311768755</v>
      </c>
      <c r="L30" s="18">
        <v>383</v>
      </c>
      <c r="M30" s="24">
        <v>11.29127358490566</v>
      </c>
      <c r="N30" s="18">
        <v>420</v>
      </c>
      <c r="O30" s="24">
        <v>12.448132780082988</v>
      </c>
      <c r="P30" s="18">
        <v>487</v>
      </c>
      <c r="Q30" s="24">
        <v>14.319317847691856</v>
      </c>
    </row>
    <row r="31" spans="1:17" ht="15">
      <c r="A31" s="10" t="s">
        <v>39</v>
      </c>
      <c r="B31" s="18">
        <f>116+87</f>
        <v>203</v>
      </c>
      <c r="C31" s="24">
        <f>B31/3407*100</f>
        <v>5.958321103610214</v>
      </c>
      <c r="D31" s="18">
        <f>183+87+22</f>
        <v>292</v>
      </c>
      <c r="E31" s="24">
        <f>D31/4834*100</f>
        <v>6.0405461315680595</v>
      </c>
      <c r="F31" s="18">
        <v>380</v>
      </c>
      <c r="G31" s="24">
        <v>6.2820300876177875</v>
      </c>
      <c r="H31" s="18">
        <v>594</v>
      </c>
      <c r="I31" s="24">
        <v>7.555329432714323</v>
      </c>
      <c r="J31" s="18">
        <v>948</v>
      </c>
      <c r="K31" s="24">
        <v>7.859393135466755</v>
      </c>
      <c r="L31" s="18">
        <v>1418</v>
      </c>
      <c r="M31" s="24">
        <v>8.668541386477564</v>
      </c>
      <c r="N31" s="18">
        <v>1901</v>
      </c>
      <c r="O31" s="24">
        <v>9.220993403181994</v>
      </c>
      <c r="P31" s="18">
        <v>2478</v>
      </c>
      <c r="Q31" s="24">
        <v>10.088344257623255</v>
      </c>
    </row>
    <row r="32" spans="1:17" ht="15">
      <c r="A32" s="10" t="s">
        <v>22</v>
      </c>
      <c r="B32" s="18">
        <f>94+75</f>
        <v>169</v>
      </c>
      <c r="C32" s="24">
        <f>B32/3010*100</f>
        <v>5.614617940199335</v>
      </c>
      <c r="D32" s="18">
        <f>151+55+11</f>
        <v>217</v>
      </c>
      <c r="E32" s="24">
        <f>D32/3644*100</f>
        <v>5.954994511525795</v>
      </c>
      <c r="F32" s="18">
        <v>210</v>
      </c>
      <c r="G32" s="24">
        <v>5.8495821727019495</v>
      </c>
      <c r="H32" s="18">
        <v>256</v>
      </c>
      <c r="I32" s="24">
        <v>5.8986175115207375</v>
      </c>
      <c r="J32" s="18">
        <v>336</v>
      </c>
      <c r="K32" s="24">
        <v>6.965174129353234</v>
      </c>
      <c r="L32" s="18">
        <v>445</v>
      </c>
      <c r="M32" s="24">
        <v>9.236197592361977</v>
      </c>
      <c r="N32" s="18">
        <v>563</v>
      </c>
      <c r="O32" s="24">
        <v>11.56532456861134</v>
      </c>
      <c r="P32" s="18">
        <v>628</v>
      </c>
      <c r="Q32" s="24">
        <v>12.544946064722334</v>
      </c>
    </row>
    <row r="33" spans="1:17" ht="15">
      <c r="A33" s="10" t="s">
        <v>23</v>
      </c>
      <c r="B33" s="18">
        <f>88+52</f>
        <v>140</v>
      </c>
      <c r="C33" s="24">
        <f>B33/2065*100</f>
        <v>6.779661016949152</v>
      </c>
      <c r="D33" s="18">
        <f>95+37+7</f>
        <v>139</v>
      </c>
      <c r="E33" s="24">
        <f>D33/1932*100</f>
        <v>7.194616977225674</v>
      </c>
      <c r="F33" s="18">
        <v>175</v>
      </c>
      <c r="G33" s="24">
        <v>7.523645743766122</v>
      </c>
      <c r="H33" s="18">
        <v>228</v>
      </c>
      <c r="I33" s="24">
        <v>8.4726867335563</v>
      </c>
      <c r="J33" s="18">
        <v>252</v>
      </c>
      <c r="K33" s="24">
        <v>9.244314013206163</v>
      </c>
      <c r="L33" s="18">
        <v>255</v>
      </c>
      <c r="M33" s="24">
        <v>10.696308724832216</v>
      </c>
      <c r="N33" s="18">
        <v>286</v>
      </c>
      <c r="O33" s="24">
        <v>12.067510548523206</v>
      </c>
      <c r="P33" s="18">
        <v>323</v>
      </c>
      <c r="Q33" s="24">
        <v>13.347107438016529</v>
      </c>
    </row>
    <row r="34" spans="1:17" ht="15">
      <c r="A34" s="10" t="s">
        <v>24</v>
      </c>
      <c r="B34" s="18">
        <f>58+44</f>
        <v>102</v>
      </c>
      <c r="C34" s="24">
        <f>B34/1782*100</f>
        <v>5.723905723905724</v>
      </c>
      <c r="D34" s="18">
        <f>61+25+2</f>
        <v>88</v>
      </c>
      <c r="E34" s="24">
        <f>D34/1503*100</f>
        <v>5.854956753160346</v>
      </c>
      <c r="F34" s="18">
        <v>147</v>
      </c>
      <c r="G34" s="24">
        <v>6.5566458519179305</v>
      </c>
      <c r="H34" s="18">
        <v>158</v>
      </c>
      <c r="I34" s="24">
        <v>6.717687074829932</v>
      </c>
      <c r="J34" s="18">
        <v>164</v>
      </c>
      <c r="K34" s="24">
        <v>6.887862242755145</v>
      </c>
      <c r="L34" s="18">
        <v>214</v>
      </c>
      <c r="M34" s="24">
        <v>8.857615894039734</v>
      </c>
      <c r="N34" s="18">
        <v>251</v>
      </c>
      <c r="O34" s="24">
        <v>10.236541598694943</v>
      </c>
      <c r="P34" s="18">
        <v>264</v>
      </c>
      <c r="Q34" s="24">
        <v>12.313432835820896</v>
      </c>
    </row>
    <row r="35" spans="1:17" ht="15">
      <c r="A35" s="10" t="s">
        <v>25</v>
      </c>
      <c r="B35" s="18">
        <f>34+28</f>
        <v>62</v>
      </c>
      <c r="C35" s="24">
        <f>B35/734*100</f>
        <v>8.446866485013624</v>
      </c>
      <c r="D35" s="18">
        <f>27+26+3</f>
        <v>56</v>
      </c>
      <c r="E35" s="24">
        <f>D35/692*100</f>
        <v>8.092485549132949</v>
      </c>
      <c r="F35" s="18">
        <v>87</v>
      </c>
      <c r="G35" s="24">
        <v>10.187353629976581</v>
      </c>
      <c r="H35" s="18">
        <v>85</v>
      </c>
      <c r="I35" s="24">
        <v>7.1488645920941964</v>
      </c>
      <c r="J35" s="18">
        <v>102</v>
      </c>
      <c r="K35" s="24">
        <v>6.934058463630184</v>
      </c>
      <c r="L35" s="18">
        <v>144</v>
      </c>
      <c r="M35" s="24">
        <v>6.9297401347449465</v>
      </c>
      <c r="N35" s="18">
        <v>198</v>
      </c>
      <c r="O35" s="24">
        <v>7.641837128521805</v>
      </c>
      <c r="P35" s="18">
        <v>250</v>
      </c>
      <c r="Q35" s="24">
        <v>9.084302325581394</v>
      </c>
    </row>
    <row r="36" spans="1:17" ht="15">
      <c r="A36" s="10" t="s">
        <v>26</v>
      </c>
      <c r="B36" s="11" t="s">
        <v>52</v>
      </c>
      <c r="C36" s="12" t="s">
        <v>52</v>
      </c>
      <c r="D36" s="18">
        <f>43+18+3</f>
        <v>64</v>
      </c>
      <c r="E36" s="24">
        <f>D36/816*100</f>
        <v>7.8431372549019605</v>
      </c>
      <c r="F36" s="18">
        <v>55</v>
      </c>
      <c r="G36" s="24">
        <v>5.298651252408478</v>
      </c>
      <c r="H36" s="18">
        <v>87</v>
      </c>
      <c r="I36" s="24">
        <v>6.59090909090909</v>
      </c>
      <c r="J36" s="18">
        <v>113</v>
      </c>
      <c r="K36" s="24">
        <v>8.129496402877697</v>
      </c>
      <c r="L36" s="18">
        <v>125</v>
      </c>
      <c r="M36" s="24">
        <v>9.005763688760807</v>
      </c>
      <c r="N36" s="18">
        <v>159</v>
      </c>
      <c r="O36" s="24">
        <v>10.868079289131922</v>
      </c>
      <c r="P36" s="18">
        <v>191</v>
      </c>
      <c r="Q36" s="24">
        <v>13.310104529616726</v>
      </c>
    </row>
    <row r="37" spans="1:17" ht="15">
      <c r="A37" s="10" t="s">
        <v>27</v>
      </c>
      <c r="B37" s="18">
        <f>45+54</f>
        <v>99</v>
      </c>
      <c r="C37" s="24">
        <f>B37/2915*100</f>
        <v>3.3962264150943398</v>
      </c>
      <c r="D37" s="18">
        <f>56+29+6</f>
        <v>91</v>
      </c>
      <c r="E37" s="24">
        <f>D37/1961*100</f>
        <v>4.640489546149924</v>
      </c>
      <c r="F37" s="18">
        <v>110</v>
      </c>
      <c r="G37" s="24">
        <v>5.907626208378089</v>
      </c>
      <c r="H37" s="18">
        <v>163</v>
      </c>
      <c r="I37" s="24">
        <v>6.463124504361619</v>
      </c>
      <c r="J37" s="18">
        <v>294</v>
      </c>
      <c r="K37" s="24">
        <v>11.307692307692307</v>
      </c>
      <c r="L37" s="18">
        <v>299</v>
      </c>
      <c r="M37" s="24">
        <v>11.29154078549849</v>
      </c>
      <c r="N37" s="18">
        <v>350</v>
      </c>
      <c r="O37" s="24">
        <v>11.528326745718049</v>
      </c>
      <c r="P37" s="18">
        <v>382</v>
      </c>
      <c r="Q37" s="24">
        <v>13.63311920057102</v>
      </c>
    </row>
    <row r="38" spans="1:17" ht="15">
      <c r="A38" s="10" t="s">
        <v>40</v>
      </c>
      <c r="B38" s="18">
        <f>24+13</f>
        <v>37</v>
      </c>
      <c r="C38" s="24">
        <f>B38/357*100</f>
        <v>10.364145658263306</v>
      </c>
      <c r="D38" s="18">
        <f>20+17+4</f>
        <v>41</v>
      </c>
      <c r="E38" s="24">
        <f>D38/483*100</f>
        <v>8.488612836438923</v>
      </c>
      <c r="F38" s="18">
        <v>35</v>
      </c>
      <c r="G38" s="24">
        <v>8.75</v>
      </c>
      <c r="H38" s="18">
        <v>46</v>
      </c>
      <c r="I38" s="24">
        <v>9.465020576131687</v>
      </c>
      <c r="J38" s="18">
        <v>47</v>
      </c>
      <c r="K38" s="24">
        <v>7.704918032786885</v>
      </c>
      <c r="L38" s="18">
        <v>57</v>
      </c>
      <c r="M38" s="24">
        <v>8.962264150943396</v>
      </c>
      <c r="N38" s="18">
        <v>72</v>
      </c>
      <c r="O38" s="24">
        <v>12.32876712328767</v>
      </c>
      <c r="P38" s="18">
        <v>129</v>
      </c>
      <c r="Q38" s="24">
        <v>22.552447552447553</v>
      </c>
    </row>
    <row r="39" spans="1:17" ht="15">
      <c r="A39" s="10" t="s">
        <v>41</v>
      </c>
      <c r="B39" s="18">
        <f>46+60</f>
        <v>106</v>
      </c>
      <c r="C39" s="24">
        <f>B39/2894*100</f>
        <v>3.6627505183137523</v>
      </c>
      <c r="D39" s="18">
        <f>75+30+3</f>
        <v>108</v>
      </c>
      <c r="E39" s="24">
        <f>D39/3019*100</f>
        <v>3.577343491222259</v>
      </c>
      <c r="F39" s="18">
        <v>105</v>
      </c>
      <c r="G39" s="24">
        <v>4.434121621621621</v>
      </c>
      <c r="H39" s="18">
        <v>127</v>
      </c>
      <c r="I39" s="24">
        <v>4.858454475899006</v>
      </c>
      <c r="J39" s="18">
        <v>212</v>
      </c>
      <c r="K39" s="24">
        <v>7.728764126868393</v>
      </c>
      <c r="L39" s="18">
        <v>236</v>
      </c>
      <c r="M39" s="24">
        <v>8.97679726131609</v>
      </c>
      <c r="N39" s="18">
        <v>244</v>
      </c>
      <c r="O39" s="24">
        <v>9.231933409004919</v>
      </c>
      <c r="P39" s="18">
        <v>274</v>
      </c>
      <c r="Q39" s="24">
        <v>10.85578446909667</v>
      </c>
    </row>
    <row r="40" spans="1:17" ht="15">
      <c r="A40" s="10" t="s">
        <v>28</v>
      </c>
      <c r="B40" s="18">
        <f>53+55</f>
        <v>108</v>
      </c>
      <c r="C40" s="24">
        <f>B40/1667*100</f>
        <v>6.47870425914817</v>
      </c>
      <c r="D40" s="18">
        <f>77+33+9</f>
        <v>119</v>
      </c>
      <c r="E40" s="24">
        <f>D40/1901*100</f>
        <v>6.25986322987901</v>
      </c>
      <c r="F40" s="18">
        <v>148</v>
      </c>
      <c r="G40" s="24">
        <v>7.539480387162506</v>
      </c>
      <c r="H40" s="18">
        <v>177</v>
      </c>
      <c r="I40" s="24">
        <v>7.92300805729633</v>
      </c>
      <c r="J40" s="18">
        <v>210</v>
      </c>
      <c r="K40" s="24">
        <v>9.234828496042216</v>
      </c>
      <c r="L40" s="18">
        <v>249</v>
      </c>
      <c r="M40" s="24">
        <v>11.081441922563418</v>
      </c>
      <c r="N40" s="18">
        <v>263</v>
      </c>
      <c r="O40" s="24">
        <v>12.601820795400096</v>
      </c>
      <c r="P40" s="18">
        <v>315</v>
      </c>
      <c r="Q40" s="24">
        <v>13.23529411764706</v>
      </c>
    </row>
    <row r="41" spans="1:17" ht="15">
      <c r="A41" s="10" t="s">
        <v>29</v>
      </c>
      <c r="B41" s="18">
        <f>72+75</f>
        <v>147</v>
      </c>
      <c r="C41" s="24">
        <f>B41/1656*100</f>
        <v>8.876811594202898</v>
      </c>
      <c r="D41" s="18">
        <f>78+46+16</f>
        <v>140</v>
      </c>
      <c r="E41" s="24">
        <f>D41/1586*100</f>
        <v>8.827238335435057</v>
      </c>
      <c r="F41" s="18">
        <v>146</v>
      </c>
      <c r="G41" s="24">
        <v>8.659549228944247</v>
      </c>
      <c r="H41" s="18">
        <v>194</v>
      </c>
      <c r="I41" s="24">
        <v>9.989701338825952</v>
      </c>
      <c r="J41" s="18">
        <v>266</v>
      </c>
      <c r="K41" s="24">
        <v>11.875</v>
      </c>
      <c r="L41" s="18">
        <v>304</v>
      </c>
      <c r="M41" s="24">
        <v>12.624584717607974</v>
      </c>
      <c r="N41" s="18">
        <v>335</v>
      </c>
      <c r="O41" s="24">
        <v>10.601265822784809</v>
      </c>
      <c r="P41" s="18">
        <v>335</v>
      </c>
      <c r="Q41" s="24">
        <v>11.7296918767507</v>
      </c>
    </row>
    <row r="42" spans="1:17" ht="15">
      <c r="A42" s="10" t="s">
        <v>42</v>
      </c>
      <c r="B42" s="18">
        <f>35+28</f>
        <v>63</v>
      </c>
      <c r="C42" s="24">
        <f>B42/1305*100</f>
        <v>4.827586206896552</v>
      </c>
      <c r="D42" s="18">
        <f>44+20+4</f>
        <v>68</v>
      </c>
      <c r="E42" s="24">
        <f>D42/1387*100</f>
        <v>4.902667627974044</v>
      </c>
      <c r="F42" s="18">
        <v>86</v>
      </c>
      <c r="G42" s="24">
        <v>6.107954545454546</v>
      </c>
      <c r="H42" s="18">
        <v>118</v>
      </c>
      <c r="I42" s="24">
        <v>7.5933075933075935</v>
      </c>
      <c r="J42" s="18">
        <v>167</v>
      </c>
      <c r="K42" s="24">
        <v>9.061313076505698</v>
      </c>
      <c r="L42" s="18">
        <v>195</v>
      </c>
      <c r="M42" s="24">
        <v>10.36682615629984</v>
      </c>
      <c r="N42" s="18">
        <v>192</v>
      </c>
      <c r="O42" s="24">
        <v>10.990269032627362</v>
      </c>
      <c r="P42" s="18">
        <v>192</v>
      </c>
      <c r="Q42" s="24">
        <v>11.517696460707858</v>
      </c>
    </row>
    <row r="43" spans="1:15" ht="15">
      <c r="A43" s="19"/>
      <c r="B43" s="20"/>
      <c r="C43" s="19"/>
      <c r="D43" s="20"/>
      <c r="E43" s="19"/>
      <c r="F43" s="20"/>
      <c r="H43" s="20"/>
      <c r="J43" s="20"/>
      <c r="L43" s="20"/>
      <c r="M43" s="23"/>
      <c r="N43" s="20"/>
      <c r="O43" s="23"/>
    </row>
    <row r="44" spans="1:17" s="22" customFormat="1" ht="15">
      <c r="A44" s="26" t="s">
        <v>43</v>
      </c>
      <c r="B44" s="11" t="s">
        <v>52</v>
      </c>
      <c r="C44" s="12" t="s">
        <v>52</v>
      </c>
      <c r="D44" s="11" t="s">
        <v>52</v>
      </c>
      <c r="E44" s="12" t="s">
        <v>52</v>
      </c>
      <c r="F44" s="11" t="s">
        <v>52</v>
      </c>
      <c r="G44" s="12" t="s">
        <v>52</v>
      </c>
      <c r="H44" s="20">
        <v>1484</v>
      </c>
      <c r="I44" s="23">
        <f>H44/20877*100</f>
        <v>7.108301001101691</v>
      </c>
      <c r="J44" s="20">
        <f>SUM(J10:J12)</f>
        <v>964</v>
      </c>
      <c r="K44" s="23">
        <f>J44/22080*100</f>
        <v>4.365942028985508</v>
      </c>
      <c r="L44" s="20">
        <v>1763</v>
      </c>
      <c r="M44" s="23">
        <f>L44/17436*100</f>
        <v>10.111264051387932</v>
      </c>
      <c r="N44" s="20">
        <v>2308</v>
      </c>
      <c r="O44" s="23">
        <v>12.614089741487675</v>
      </c>
      <c r="P44" s="20">
        <v>2668</v>
      </c>
      <c r="Q44" s="23">
        <v>14.537132893804827</v>
      </c>
    </row>
    <row r="45" spans="1:17" ht="15">
      <c r="A45" s="26" t="s">
        <v>44</v>
      </c>
      <c r="B45" s="11" t="s">
        <v>52</v>
      </c>
      <c r="C45" s="12" t="s">
        <v>52</v>
      </c>
      <c r="D45" s="11" t="s">
        <v>52</v>
      </c>
      <c r="E45" s="12" t="s">
        <v>52</v>
      </c>
      <c r="F45" s="11" t="s">
        <v>52</v>
      </c>
      <c r="G45" s="12" t="s">
        <v>52</v>
      </c>
      <c r="H45" s="20">
        <v>2840</v>
      </c>
      <c r="I45" s="23">
        <f>H45/41413*100</f>
        <v>6.857749981889745</v>
      </c>
      <c r="J45" s="20">
        <v>3595</v>
      </c>
      <c r="K45" s="23">
        <f>J45/44474*100</f>
        <v>8.083374555920313</v>
      </c>
      <c r="L45" s="20">
        <v>4228</v>
      </c>
      <c r="M45" s="23">
        <f>L45/45137*100</f>
        <v>9.367038128364756</v>
      </c>
      <c r="N45" s="20">
        <v>5153</v>
      </c>
      <c r="O45" s="23">
        <v>10.206587834492048</v>
      </c>
      <c r="P45" s="20">
        <v>5769</v>
      </c>
      <c r="Q45" s="23">
        <v>11.558805850530955</v>
      </c>
    </row>
    <row r="46" spans="1:17" ht="15">
      <c r="A46" s="26" t="s">
        <v>45</v>
      </c>
      <c r="B46" s="11" t="s">
        <v>53</v>
      </c>
      <c r="C46" s="12" t="s">
        <v>53</v>
      </c>
      <c r="D46" s="11" t="s">
        <v>53</v>
      </c>
      <c r="E46" s="12" t="s">
        <v>53</v>
      </c>
      <c r="F46" s="11" t="s">
        <v>53</v>
      </c>
      <c r="G46" s="12" t="s">
        <v>53</v>
      </c>
      <c r="H46" s="20">
        <v>10456</v>
      </c>
      <c r="I46" s="23">
        <f>H46/134546*100</f>
        <v>7.771319846000624</v>
      </c>
      <c r="J46" s="20">
        <v>16186</v>
      </c>
      <c r="K46" s="23">
        <f>J46/164235*100</f>
        <v>9.855390142174324</v>
      </c>
      <c r="L46" s="20">
        <v>21425</v>
      </c>
      <c r="M46" s="23">
        <f>L46/183007*100</f>
        <v>11.707202456736628</v>
      </c>
      <c r="N46" s="20">
        <v>26068</v>
      </c>
      <c r="O46" s="23">
        <v>13.035107984178657</v>
      </c>
      <c r="P46" s="20">
        <v>30913</v>
      </c>
      <c r="Q46" s="23">
        <v>15.217284290946322</v>
      </c>
    </row>
    <row r="47" spans="1:17" ht="15">
      <c r="A47" s="19"/>
      <c r="B47" s="20"/>
      <c r="C47" s="19"/>
      <c r="D47" s="20"/>
      <c r="E47" s="19"/>
      <c r="F47" s="20"/>
      <c r="H47" s="20"/>
      <c r="J47" s="20"/>
      <c r="L47" s="20"/>
      <c r="M47" s="23"/>
      <c r="N47" s="20"/>
      <c r="O47" s="23"/>
      <c r="P47" s="20"/>
      <c r="Q47" s="23"/>
    </row>
    <row r="48" spans="1:17" ht="15.75">
      <c r="A48" s="30" t="s">
        <v>46</v>
      </c>
      <c r="B48" s="31">
        <v>8121</v>
      </c>
      <c r="C48" s="32">
        <f>B48/133233*100</f>
        <v>6.095336740897525</v>
      </c>
      <c r="D48" s="31">
        <v>9040</v>
      </c>
      <c r="E48" s="32">
        <f>D48/145368*100</f>
        <v>6.218700126575313</v>
      </c>
      <c r="F48" s="31">
        <v>11392</v>
      </c>
      <c r="G48" s="32">
        <f>F48/164173*100</f>
        <v>6.939021641804681</v>
      </c>
      <c r="H48" s="31">
        <v>14780</v>
      </c>
      <c r="I48" s="32">
        <f>H48/196836*100</f>
        <v>7.5087890426548</v>
      </c>
      <c r="J48" s="31">
        <v>21742</v>
      </c>
      <c r="K48" s="32">
        <f>J48/230789*100</f>
        <v>9.420726291114395</v>
      </c>
      <c r="L48" s="31">
        <v>27416</v>
      </c>
      <c r="M48" s="32">
        <f>L48/245580*100</f>
        <v>11.163775551755029</v>
      </c>
      <c r="N48" s="31">
        <v>33529</v>
      </c>
      <c r="O48" s="32">
        <v>12.475117853010229</v>
      </c>
      <c r="P48" s="31">
        <v>39350</v>
      </c>
      <c r="Q48" s="32">
        <v>14.498520671906032</v>
      </c>
    </row>
  </sheetData>
  <sheetProtection/>
  <mergeCells count="9">
    <mergeCell ref="P7:Q7"/>
    <mergeCell ref="B6:O6"/>
    <mergeCell ref="N7:O7"/>
    <mergeCell ref="D7:E7"/>
    <mergeCell ref="B7:C7"/>
    <mergeCell ref="L7:M7"/>
    <mergeCell ref="J7:K7"/>
    <mergeCell ref="H7:I7"/>
    <mergeCell ref="F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1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23.140625" style="1" customWidth="1"/>
    <col min="2" max="8" width="11.00390625" style="1" bestFit="1" customWidth="1"/>
    <col min="9" max="9" width="9.57421875" style="1" bestFit="1" customWidth="1"/>
    <col min="10" max="10" width="13.28125" style="59" customWidth="1"/>
    <col min="11" max="16384" width="11.421875" style="1" customWidth="1"/>
  </cols>
  <sheetData>
    <row r="2" spans="1:10" ht="19.5">
      <c r="A2" s="4" t="s">
        <v>133</v>
      </c>
      <c r="B2" s="5"/>
      <c r="C2" s="5"/>
      <c r="D2" s="5"/>
      <c r="E2" s="5"/>
      <c r="F2" s="5"/>
      <c r="G2" s="5"/>
      <c r="H2" s="5"/>
      <c r="I2" s="5"/>
      <c r="J2" s="58"/>
    </row>
    <row r="4" ht="15">
      <c r="A4" s="7" t="s">
        <v>158</v>
      </c>
    </row>
    <row r="5" s="13" customFormat="1" ht="15">
      <c r="J5" s="60"/>
    </row>
    <row r="6" spans="1:10" s="13" customFormat="1" ht="34.5">
      <c r="A6" s="28" t="s">
        <v>159</v>
      </c>
      <c r="B6" s="83" t="s">
        <v>1</v>
      </c>
      <c r="C6" s="83" t="s">
        <v>2</v>
      </c>
      <c r="D6" s="83" t="s">
        <v>3</v>
      </c>
      <c r="E6" s="83" t="s">
        <v>4</v>
      </c>
      <c r="F6" s="83" t="s">
        <v>5</v>
      </c>
      <c r="G6" s="83" t="s">
        <v>6</v>
      </c>
      <c r="H6" s="83" t="s">
        <v>7</v>
      </c>
      <c r="I6" s="83" t="s">
        <v>8</v>
      </c>
      <c r="J6" s="28" t="s">
        <v>48</v>
      </c>
    </row>
    <row r="7" s="13" customFormat="1" ht="17.25">
      <c r="A7" s="14"/>
    </row>
    <row r="8" spans="1:10" s="13" customFormat="1" ht="15.75">
      <c r="A8" s="55" t="s">
        <v>55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s="13" customFormat="1" ht="15">
      <c r="A9" s="10" t="s">
        <v>9</v>
      </c>
      <c r="B9" s="84">
        <v>402</v>
      </c>
      <c r="C9" s="84">
        <v>341</v>
      </c>
      <c r="D9" s="84">
        <v>277</v>
      </c>
      <c r="E9" s="46">
        <v>161</v>
      </c>
      <c r="F9" s="46">
        <v>98</v>
      </c>
      <c r="G9" s="46">
        <v>46</v>
      </c>
      <c r="H9" s="46">
        <v>11</v>
      </c>
      <c r="I9" s="46">
        <v>4</v>
      </c>
      <c r="J9" s="85">
        <v>1340</v>
      </c>
    </row>
    <row r="10" spans="1:10" s="13" customFormat="1" ht="15">
      <c r="A10" s="10" t="s">
        <v>10</v>
      </c>
      <c r="B10" s="84">
        <v>290</v>
      </c>
      <c r="C10" s="84">
        <v>247</v>
      </c>
      <c r="D10" s="84">
        <v>137</v>
      </c>
      <c r="E10" s="46">
        <v>84</v>
      </c>
      <c r="F10" s="46">
        <v>52</v>
      </c>
      <c r="G10" s="46">
        <v>23</v>
      </c>
      <c r="H10" s="46">
        <v>8</v>
      </c>
      <c r="I10" s="46">
        <v>0</v>
      </c>
      <c r="J10" s="85">
        <v>841</v>
      </c>
    </row>
    <row r="11" spans="1:10" s="13" customFormat="1" ht="15">
      <c r="A11" s="10" t="s">
        <v>11</v>
      </c>
      <c r="B11" s="84">
        <v>160</v>
      </c>
      <c r="C11" s="84">
        <v>123</v>
      </c>
      <c r="D11" s="84">
        <v>85</v>
      </c>
      <c r="E11" s="46">
        <v>60</v>
      </c>
      <c r="F11" s="46">
        <v>40</v>
      </c>
      <c r="G11" s="46">
        <v>15</v>
      </c>
      <c r="H11" s="46">
        <v>4</v>
      </c>
      <c r="I11" s="46">
        <v>0</v>
      </c>
      <c r="J11" s="85">
        <v>487</v>
      </c>
    </row>
    <row r="12" spans="1:10" s="60" customFormat="1" ht="15">
      <c r="A12" s="72" t="s">
        <v>12</v>
      </c>
      <c r="B12" s="85">
        <f>SUM(B9:B11)</f>
        <v>852</v>
      </c>
      <c r="C12" s="85">
        <f aca="true" t="shared" si="0" ref="C12:I12">SUM(C9:C11)</f>
        <v>711</v>
      </c>
      <c r="D12" s="85">
        <f t="shared" si="0"/>
        <v>499</v>
      </c>
      <c r="E12" s="85">
        <f t="shared" si="0"/>
        <v>305</v>
      </c>
      <c r="F12" s="85">
        <f t="shared" si="0"/>
        <v>190</v>
      </c>
      <c r="G12" s="85">
        <f t="shared" si="0"/>
        <v>84</v>
      </c>
      <c r="H12" s="85">
        <f t="shared" si="0"/>
        <v>23</v>
      </c>
      <c r="I12" s="85">
        <f t="shared" si="0"/>
        <v>4</v>
      </c>
      <c r="J12" s="85">
        <v>2668</v>
      </c>
    </row>
    <row r="13" s="13" customFormat="1" ht="15">
      <c r="A13" s="19"/>
    </row>
    <row r="14" spans="1:10" s="13" customFormat="1" ht="15.75">
      <c r="A14" s="57" t="s">
        <v>56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s="13" customFormat="1" ht="15">
      <c r="A15" s="10" t="s">
        <v>13</v>
      </c>
      <c r="B15" s="84">
        <v>38</v>
      </c>
      <c r="C15" s="84">
        <v>33</v>
      </c>
      <c r="D15" s="84">
        <v>21</v>
      </c>
      <c r="E15" s="46">
        <v>16</v>
      </c>
      <c r="F15" s="46">
        <v>8</v>
      </c>
      <c r="G15" s="46">
        <v>4</v>
      </c>
      <c r="H15" s="46">
        <v>0</v>
      </c>
      <c r="I15" s="46">
        <v>0</v>
      </c>
      <c r="J15" s="85">
        <v>120</v>
      </c>
    </row>
    <row r="16" spans="1:10" s="13" customFormat="1" ht="15">
      <c r="A16" s="10" t="s">
        <v>14</v>
      </c>
      <c r="B16" s="84">
        <v>160</v>
      </c>
      <c r="C16" s="84">
        <v>120</v>
      </c>
      <c r="D16" s="84">
        <v>73</v>
      </c>
      <c r="E16" s="46">
        <v>52</v>
      </c>
      <c r="F16" s="46">
        <v>26</v>
      </c>
      <c r="G16" s="46">
        <v>11</v>
      </c>
      <c r="H16" s="46">
        <v>4</v>
      </c>
      <c r="I16" s="46">
        <v>1</v>
      </c>
      <c r="J16" s="85">
        <v>447</v>
      </c>
    </row>
    <row r="17" spans="1:10" s="13" customFormat="1" ht="15">
      <c r="A17" s="10" t="s">
        <v>15</v>
      </c>
      <c r="B17" s="84">
        <v>113</v>
      </c>
      <c r="C17" s="84">
        <v>85</v>
      </c>
      <c r="D17" s="84">
        <v>63</v>
      </c>
      <c r="E17" s="46">
        <v>46</v>
      </c>
      <c r="F17" s="46">
        <v>25</v>
      </c>
      <c r="G17" s="46">
        <v>10</v>
      </c>
      <c r="H17" s="46">
        <v>2</v>
      </c>
      <c r="I17" s="46">
        <v>1</v>
      </c>
      <c r="J17" s="85">
        <v>345</v>
      </c>
    </row>
    <row r="18" spans="1:10" s="13" customFormat="1" ht="15">
      <c r="A18" s="10" t="s">
        <v>16</v>
      </c>
      <c r="B18" s="84">
        <v>139</v>
      </c>
      <c r="C18" s="84">
        <v>105</v>
      </c>
      <c r="D18" s="84">
        <v>101</v>
      </c>
      <c r="E18" s="46">
        <v>60</v>
      </c>
      <c r="F18" s="46">
        <v>34</v>
      </c>
      <c r="G18" s="46">
        <v>13</v>
      </c>
      <c r="H18" s="46">
        <v>1</v>
      </c>
      <c r="I18" s="46">
        <v>1</v>
      </c>
      <c r="J18" s="85">
        <v>454</v>
      </c>
    </row>
    <row r="19" spans="1:10" s="13" customFormat="1" ht="15">
      <c r="A19" s="10" t="s">
        <v>17</v>
      </c>
      <c r="B19" s="84">
        <v>75</v>
      </c>
      <c r="C19" s="84">
        <v>67</v>
      </c>
      <c r="D19" s="84">
        <v>44</v>
      </c>
      <c r="E19" s="46">
        <v>32</v>
      </c>
      <c r="F19" s="46">
        <v>19</v>
      </c>
      <c r="G19" s="46">
        <v>6</v>
      </c>
      <c r="H19" s="46">
        <v>2</v>
      </c>
      <c r="I19" s="46">
        <v>0</v>
      </c>
      <c r="J19" s="85">
        <v>245</v>
      </c>
    </row>
    <row r="20" spans="1:10" s="13" customFormat="1" ht="15">
      <c r="A20" s="10" t="s">
        <v>18</v>
      </c>
      <c r="B20" s="84">
        <v>260</v>
      </c>
      <c r="C20" s="84">
        <v>155</v>
      </c>
      <c r="D20" s="84">
        <v>107</v>
      </c>
      <c r="E20" s="46">
        <v>73</v>
      </c>
      <c r="F20" s="46">
        <v>43</v>
      </c>
      <c r="G20" s="46">
        <v>14</v>
      </c>
      <c r="H20" s="46">
        <v>5</v>
      </c>
      <c r="I20" s="46">
        <v>0</v>
      </c>
      <c r="J20" s="85">
        <v>657</v>
      </c>
    </row>
    <row r="21" spans="1:10" s="13" customFormat="1" ht="15">
      <c r="A21" s="10" t="s">
        <v>19</v>
      </c>
      <c r="B21" s="84">
        <v>36</v>
      </c>
      <c r="C21" s="84">
        <v>42</v>
      </c>
      <c r="D21" s="84">
        <v>25</v>
      </c>
      <c r="E21" s="46">
        <v>13</v>
      </c>
      <c r="F21" s="46">
        <v>4</v>
      </c>
      <c r="G21" s="46">
        <v>3</v>
      </c>
      <c r="H21" s="46">
        <v>0</v>
      </c>
      <c r="I21" s="46">
        <v>1</v>
      </c>
      <c r="J21" s="85">
        <v>124</v>
      </c>
    </row>
    <row r="22" spans="1:10" s="13" customFormat="1" ht="15">
      <c r="A22" s="10" t="s">
        <v>20</v>
      </c>
      <c r="B22" s="84">
        <v>159</v>
      </c>
      <c r="C22" s="84">
        <v>107</v>
      </c>
      <c r="D22" s="84">
        <v>75</v>
      </c>
      <c r="E22" s="46">
        <v>58</v>
      </c>
      <c r="F22" s="46">
        <v>43</v>
      </c>
      <c r="G22" s="46">
        <v>23</v>
      </c>
      <c r="H22" s="46">
        <v>7</v>
      </c>
      <c r="I22" s="46">
        <v>1</v>
      </c>
      <c r="J22" s="85">
        <v>473</v>
      </c>
    </row>
    <row r="23" spans="1:10" s="13" customFormat="1" ht="15">
      <c r="A23" s="10" t="s">
        <v>21</v>
      </c>
      <c r="B23" s="84">
        <v>92</v>
      </c>
      <c r="C23" s="84">
        <v>70</v>
      </c>
      <c r="D23" s="84">
        <v>42</v>
      </c>
      <c r="E23" s="46">
        <v>40</v>
      </c>
      <c r="F23" s="46">
        <v>22</v>
      </c>
      <c r="G23" s="46">
        <v>5</v>
      </c>
      <c r="H23" s="46">
        <v>6</v>
      </c>
      <c r="I23" s="46">
        <v>0</v>
      </c>
      <c r="J23" s="85">
        <v>277</v>
      </c>
    </row>
    <row r="24" spans="1:10" s="13" customFormat="1" ht="15">
      <c r="A24" s="10" t="s">
        <v>22</v>
      </c>
      <c r="B24" s="84">
        <v>200</v>
      </c>
      <c r="C24" s="84">
        <v>164</v>
      </c>
      <c r="D24" s="84">
        <v>129</v>
      </c>
      <c r="E24" s="46">
        <v>66</v>
      </c>
      <c r="F24" s="46">
        <v>45</v>
      </c>
      <c r="G24" s="46">
        <v>16</v>
      </c>
      <c r="H24" s="46">
        <v>5</v>
      </c>
      <c r="I24" s="46">
        <v>3</v>
      </c>
      <c r="J24" s="85">
        <v>628</v>
      </c>
    </row>
    <row r="25" spans="1:10" s="13" customFormat="1" ht="15">
      <c r="A25" s="10" t="s">
        <v>23</v>
      </c>
      <c r="B25" s="84">
        <v>119</v>
      </c>
      <c r="C25" s="84">
        <v>73</v>
      </c>
      <c r="D25" s="84">
        <v>63</v>
      </c>
      <c r="E25" s="46">
        <v>32</v>
      </c>
      <c r="F25" s="46">
        <v>21</v>
      </c>
      <c r="G25" s="46">
        <v>13</v>
      </c>
      <c r="H25" s="46">
        <v>1</v>
      </c>
      <c r="I25" s="46">
        <v>1</v>
      </c>
      <c r="J25" s="85">
        <v>323</v>
      </c>
    </row>
    <row r="26" spans="1:10" s="13" customFormat="1" ht="15">
      <c r="A26" s="10" t="s">
        <v>24</v>
      </c>
      <c r="B26" s="84">
        <v>83</v>
      </c>
      <c r="C26" s="84">
        <v>60</v>
      </c>
      <c r="D26" s="84">
        <v>57</v>
      </c>
      <c r="E26" s="46">
        <v>40</v>
      </c>
      <c r="F26" s="46">
        <v>11</v>
      </c>
      <c r="G26" s="46">
        <v>12</v>
      </c>
      <c r="H26" s="46">
        <v>1</v>
      </c>
      <c r="I26" s="46">
        <v>0</v>
      </c>
      <c r="J26" s="85">
        <v>264</v>
      </c>
    </row>
    <row r="27" spans="1:10" s="13" customFormat="1" ht="15">
      <c r="A27" s="10" t="s">
        <v>25</v>
      </c>
      <c r="B27" s="84">
        <v>89</v>
      </c>
      <c r="C27" s="84">
        <v>76</v>
      </c>
      <c r="D27" s="84">
        <v>39</v>
      </c>
      <c r="E27" s="46">
        <v>17</v>
      </c>
      <c r="F27" s="46">
        <v>11</v>
      </c>
      <c r="G27" s="46">
        <v>14</v>
      </c>
      <c r="H27" s="46">
        <v>2</v>
      </c>
      <c r="I27" s="46">
        <v>2</v>
      </c>
      <c r="J27" s="85">
        <v>250</v>
      </c>
    </row>
    <row r="28" spans="1:10" s="13" customFormat="1" ht="15">
      <c r="A28" s="10" t="s">
        <v>26</v>
      </c>
      <c r="B28" s="84">
        <v>69</v>
      </c>
      <c r="C28" s="84">
        <v>49</v>
      </c>
      <c r="D28" s="84">
        <v>38</v>
      </c>
      <c r="E28" s="46">
        <v>16</v>
      </c>
      <c r="F28" s="46">
        <v>13</v>
      </c>
      <c r="G28" s="46">
        <v>5</v>
      </c>
      <c r="H28" s="46">
        <v>1</v>
      </c>
      <c r="I28" s="46">
        <v>0</v>
      </c>
      <c r="J28" s="85">
        <v>191</v>
      </c>
    </row>
    <row r="29" spans="1:10" s="13" customFormat="1" ht="15">
      <c r="A29" s="49" t="s">
        <v>167</v>
      </c>
      <c r="B29" s="84">
        <v>92</v>
      </c>
      <c r="C29" s="84">
        <v>84</v>
      </c>
      <c r="D29" s="84">
        <v>66</v>
      </c>
      <c r="E29" s="46">
        <v>44</v>
      </c>
      <c r="F29" s="46">
        <v>23</v>
      </c>
      <c r="G29" s="46">
        <v>9</v>
      </c>
      <c r="H29" s="46">
        <v>2</v>
      </c>
      <c r="I29" s="46">
        <v>1</v>
      </c>
      <c r="J29" s="85">
        <f>SUM(B29:I29)</f>
        <v>321</v>
      </c>
    </row>
    <row r="30" spans="1:10" s="13" customFormat="1" ht="15">
      <c r="A30" s="10" t="s">
        <v>28</v>
      </c>
      <c r="B30" s="84">
        <v>98</v>
      </c>
      <c r="C30" s="84">
        <v>92</v>
      </c>
      <c r="D30" s="84">
        <v>54</v>
      </c>
      <c r="E30" s="46">
        <v>31</v>
      </c>
      <c r="F30" s="46">
        <v>25</v>
      </c>
      <c r="G30" s="46">
        <v>10</v>
      </c>
      <c r="H30" s="46">
        <v>4</v>
      </c>
      <c r="I30" s="46">
        <v>1</v>
      </c>
      <c r="J30" s="85">
        <v>315</v>
      </c>
    </row>
    <row r="31" spans="1:10" s="13" customFormat="1" ht="15">
      <c r="A31" s="10" t="s">
        <v>29</v>
      </c>
      <c r="B31" s="84">
        <v>98</v>
      </c>
      <c r="C31" s="84">
        <v>72</v>
      </c>
      <c r="D31" s="84">
        <v>69</v>
      </c>
      <c r="E31" s="46">
        <v>43</v>
      </c>
      <c r="F31" s="46">
        <v>27</v>
      </c>
      <c r="G31" s="46">
        <v>18</v>
      </c>
      <c r="H31" s="46">
        <v>8</v>
      </c>
      <c r="I31" s="46">
        <v>0</v>
      </c>
      <c r="J31" s="85">
        <v>335</v>
      </c>
    </row>
    <row r="32" spans="1:10" s="60" customFormat="1" ht="15">
      <c r="A32" s="72" t="s">
        <v>12</v>
      </c>
      <c r="B32" s="85">
        <f>SUM(B15:B31)</f>
        <v>1920</v>
      </c>
      <c r="C32" s="85">
        <f aca="true" t="shared" si="1" ref="C32:I32">SUM(C15:C31)</f>
        <v>1454</v>
      </c>
      <c r="D32" s="85">
        <f t="shared" si="1"/>
        <v>1066</v>
      </c>
      <c r="E32" s="85">
        <f t="shared" si="1"/>
        <v>679</v>
      </c>
      <c r="F32" s="85">
        <f t="shared" si="1"/>
        <v>400</v>
      </c>
      <c r="G32" s="85">
        <f t="shared" si="1"/>
        <v>186</v>
      </c>
      <c r="H32" s="85">
        <f t="shared" si="1"/>
        <v>51</v>
      </c>
      <c r="I32" s="85">
        <f t="shared" si="1"/>
        <v>13</v>
      </c>
      <c r="J32" s="85">
        <v>5769</v>
      </c>
    </row>
    <row r="33" spans="1:10" s="13" customFormat="1" ht="15">
      <c r="A33" s="19"/>
      <c r="B33" s="11"/>
      <c r="C33" s="11"/>
      <c r="D33" s="11"/>
      <c r="J33" s="11"/>
    </row>
    <row r="34" spans="1:10" s="13" customFormat="1" ht="15.75">
      <c r="A34" s="57" t="s">
        <v>57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0" s="13" customFormat="1" ht="15">
      <c r="A35" s="10" t="s">
        <v>30</v>
      </c>
      <c r="B35" s="84">
        <v>265</v>
      </c>
      <c r="C35" s="84">
        <v>187</v>
      </c>
      <c r="D35" s="84">
        <v>155</v>
      </c>
      <c r="E35" s="46">
        <v>99</v>
      </c>
      <c r="F35" s="46">
        <v>39</v>
      </c>
      <c r="G35" s="46">
        <v>27</v>
      </c>
      <c r="H35" s="46">
        <v>6</v>
      </c>
      <c r="I35" s="46">
        <v>0</v>
      </c>
      <c r="J35" s="85">
        <v>778</v>
      </c>
    </row>
    <row r="36" spans="1:10" s="13" customFormat="1" ht="15">
      <c r="A36" s="10" t="s">
        <v>31</v>
      </c>
      <c r="B36" s="84">
        <v>294</v>
      </c>
      <c r="C36" s="84">
        <v>228</v>
      </c>
      <c r="D36" s="84">
        <v>160</v>
      </c>
      <c r="E36" s="46">
        <v>120</v>
      </c>
      <c r="F36" s="46">
        <v>92</v>
      </c>
      <c r="G36" s="46">
        <v>36</v>
      </c>
      <c r="H36" s="46">
        <v>17</v>
      </c>
      <c r="I36" s="46">
        <v>8</v>
      </c>
      <c r="J36" s="85">
        <v>955</v>
      </c>
    </row>
    <row r="37" spans="1:10" s="13" customFormat="1" ht="15">
      <c r="A37" s="10" t="s">
        <v>32</v>
      </c>
      <c r="B37" s="84">
        <v>1413</v>
      </c>
      <c r="C37" s="84">
        <v>1109</v>
      </c>
      <c r="D37" s="84">
        <v>908</v>
      </c>
      <c r="E37" s="46">
        <v>480</v>
      </c>
      <c r="F37" s="46">
        <v>310</v>
      </c>
      <c r="G37" s="46">
        <v>164</v>
      </c>
      <c r="H37" s="46">
        <v>60</v>
      </c>
      <c r="I37" s="46">
        <v>12</v>
      </c>
      <c r="J37" s="85">
        <v>4456</v>
      </c>
    </row>
    <row r="38" spans="1:10" s="13" customFormat="1" ht="15">
      <c r="A38" s="10" t="s">
        <v>33</v>
      </c>
      <c r="B38" s="84">
        <v>36</v>
      </c>
      <c r="C38" s="84">
        <v>43</v>
      </c>
      <c r="D38" s="84">
        <v>26</v>
      </c>
      <c r="E38" s="46">
        <v>18</v>
      </c>
      <c r="F38" s="46">
        <v>12</v>
      </c>
      <c r="G38" s="46">
        <v>6</v>
      </c>
      <c r="H38" s="46">
        <v>2</v>
      </c>
      <c r="I38" s="46">
        <v>2</v>
      </c>
      <c r="J38" s="85">
        <v>145</v>
      </c>
    </row>
    <row r="39" spans="1:10" s="13" customFormat="1" ht="15">
      <c r="A39" s="10" t="s">
        <v>34</v>
      </c>
      <c r="B39" s="84">
        <v>90</v>
      </c>
      <c r="C39" s="84">
        <v>58</v>
      </c>
      <c r="D39" s="84">
        <v>36</v>
      </c>
      <c r="E39" s="46">
        <v>25</v>
      </c>
      <c r="F39" s="46">
        <v>10</v>
      </c>
      <c r="G39" s="46">
        <v>10</v>
      </c>
      <c r="H39" s="46">
        <v>5</v>
      </c>
      <c r="I39" s="46">
        <v>0</v>
      </c>
      <c r="J39" s="85">
        <v>234</v>
      </c>
    </row>
    <row r="40" spans="1:10" s="13" customFormat="1" ht="15">
      <c r="A40" s="10" t="s">
        <v>35</v>
      </c>
      <c r="B40" s="84">
        <v>193</v>
      </c>
      <c r="C40" s="84">
        <v>147</v>
      </c>
      <c r="D40" s="84">
        <v>131</v>
      </c>
      <c r="E40" s="46">
        <v>88</v>
      </c>
      <c r="F40" s="46">
        <v>59</v>
      </c>
      <c r="G40" s="46">
        <v>23</v>
      </c>
      <c r="H40" s="46">
        <v>5</v>
      </c>
      <c r="I40" s="46">
        <v>2</v>
      </c>
      <c r="J40" s="85">
        <v>648</v>
      </c>
    </row>
    <row r="41" spans="1:10" s="13" customFormat="1" ht="15">
      <c r="A41" s="10" t="s">
        <v>36</v>
      </c>
      <c r="B41" s="84">
        <v>31</v>
      </c>
      <c r="C41" s="84">
        <v>41</v>
      </c>
      <c r="D41" s="84">
        <v>29</v>
      </c>
      <c r="E41" s="46">
        <v>17</v>
      </c>
      <c r="F41" s="46">
        <v>11</v>
      </c>
      <c r="G41" s="46">
        <v>12</v>
      </c>
      <c r="H41" s="46">
        <v>3</v>
      </c>
      <c r="I41" s="46">
        <v>0</v>
      </c>
      <c r="J41" s="85">
        <v>144</v>
      </c>
    </row>
    <row r="42" spans="1:10" s="13" customFormat="1" ht="15">
      <c r="A42" s="10" t="s">
        <v>37</v>
      </c>
      <c r="B42" s="84">
        <v>1243</v>
      </c>
      <c r="C42" s="84">
        <v>961</v>
      </c>
      <c r="D42" s="84">
        <v>868</v>
      </c>
      <c r="E42" s="46">
        <v>616</v>
      </c>
      <c r="F42" s="46">
        <v>354</v>
      </c>
      <c r="G42" s="46">
        <v>202</v>
      </c>
      <c r="H42" s="46">
        <v>86</v>
      </c>
      <c r="I42" s="46">
        <v>15</v>
      </c>
      <c r="J42" s="85">
        <v>4345</v>
      </c>
    </row>
    <row r="43" spans="1:10" s="13" customFormat="1" ht="15">
      <c r="A43" s="10" t="s">
        <v>38</v>
      </c>
      <c r="B43" s="84">
        <v>4595</v>
      </c>
      <c r="C43" s="84">
        <v>3434</v>
      </c>
      <c r="D43" s="84">
        <v>3072</v>
      </c>
      <c r="E43" s="46">
        <v>2285</v>
      </c>
      <c r="F43" s="46">
        <v>1528</v>
      </c>
      <c r="G43" s="46">
        <v>753</v>
      </c>
      <c r="H43" s="46">
        <v>313</v>
      </c>
      <c r="I43" s="46">
        <v>94</v>
      </c>
      <c r="J43" s="85">
        <v>16074</v>
      </c>
    </row>
    <row r="44" spans="1:10" s="13" customFormat="1" ht="15">
      <c r="A44" s="10" t="s">
        <v>39</v>
      </c>
      <c r="B44" s="84">
        <v>803</v>
      </c>
      <c r="C44" s="84">
        <v>562</v>
      </c>
      <c r="D44" s="84">
        <v>484</v>
      </c>
      <c r="E44" s="46">
        <v>306</v>
      </c>
      <c r="F44" s="46">
        <v>195</v>
      </c>
      <c r="G44" s="46">
        <v>92</v>
      </c>
      <c r="H44" s="46">
        <v>32</v>
      </c>
      <c r="I44" s="46">
        <v>4</v>
      </c>
      <c r="J44" s="85">
        <v>2478</v>
      </c>
    </row>
    <row r="45" spans="1:10" s="13" customFormat="1" ht="15">
      <c r="A45" s="49" t="s">
        <v>168</v>
      </c>
      <c r="B45" s="84">
        <v>19</v>
      </c>
      <c r="C45" s="84">
        <v>19</v>
      </c>
      <c r="D45" s="84">
        <v>11</v>
      </c>
      <c r="E45" s="46">
        <v>5</v>
      </c>
      <c r="F45" s="46">
        <v>3</v>
      </c>
      <c r="G45" s="46">
        <v>3</v>
      </c>
      <c r="H45" s="46">
        <v>1</v>
      </c>
      <c r="I45" s="46">
        <v>0</v>
      </c>
      <c r="J45" s="85">
        <f>SUM(B45:I45)</f>
        <v>61</v>
      </c>
    </row>
    <row r="46" spans="1:10" s="13" customFormat="1" ht="15">
      <c r="A46" s="10" t="s">
        <v>40</v>
      </c>
      <c r="B46" s="84">
        <v>28</v>
      </c>
      <c r="C46" s="84">
        <v>23</v>
      </c>
      <c r="D46" s="84">
        <v>26</v>
      </c>
      <c r="E46" s="46">
        <v>16</v>
      </c>
      <c r="F46" s="46">
        <v>18</v>
      </c>
      <c r="G46" s="46">
        <v>14</v>
      </c>
      <c r="H46" s="46">
        <v>4</v>
      </c>
      <c r="I46" s="46">
        <v>0</v>
      </c>
      <c r="J46" s="85">
        <v>129</v>
      </c>
    </row>
    <row r="47" spans="1:10" s="13" customFormat="1" ht="15">
      <c r="A47" s="10" t="s">
        <v>41</v>
      </c>
      <c r="B47" s="84">
        <v>91</v>
      </c>
      <c r="C47" s="84">
        <v>69</v>
      </c>
      <c r="D47" s="84">
        <v>49</v>
      </c>
      <c r="E47" s="46">
        <v>39</v>
      </c>
      <c r="F47" s="46">
        <v>17</v>
      </c>
      <c r="G47" s="46">
        <v>5</v>
      </c>
      <c r="H47" s="46">
        <v>4</v>
      </c>
      <c r="I47" s="46">
        <v>0</v>
      </c>
      <c r="J47" s="85">
        <v>274</v>
      </c>
    </row>
    <row r="48" spans="1:10" s="13" customFormat="1" ht="15">
      <c r="A48" s="10" t="s">
        <v>42</v>
      </c>
      <c r="B48" s="84">
        <v>55</v>
      </c>
      <c r="C48" s="84">
        <v>46</v>
      </c>
      <c r="D48" s="84">
        <v>27</v>
      </c>
      <c r="E48" s="46">
        <v>33</v>
      </c>
      <c r="F48" s="46">
        <v>16</v>
      </c>
      <c r="G48" s="46">
        <v>11</v>
      </c>
      <c r="H48" s="46">
        <v>3</v>
      </c>
      <c r="I48" s="46">
        <v>1</v>
      </c>
      <c r="J48" s="85">
        <v>192</v>
      </c>
    </row>
    <row r="49" spans="1:10" s="60" customFormat="1" ht="15">
      <c r="A49" s="72" t="s">
        <v>12</v>
      </c>
      <c r="B49" s="85">
        <f>SUM(B35:B48)</f>
        <v>9156</v>
      </c>
      <c r="C49" s="85">
        <f aca="true" t="shared" si="2" ref="C49:I49">SUM(C35:C48)</f>
        <v>6927</v>
      </c>
      <c r="D49" s="85">
        <f t="shared" si="2"/>
        <v>5982</v>
      </c>
      <c r="E49" s="85">
        <f t="shared" si="2"/>
        <v>4147</v>
      </c>
      <c r="F49" s="85">
        <f t="shared" si="2"/>
        <v>2664</v>
      </c>
      <c r="G49" s="85">
        <f t="shared" si="2"/>
        <v>1358</v>
      </c>
      <c r="H49" s="85">
        <f t="shared" si="2"/>
        <v>541</v>
      </c>
      <c r="I49" s="85">
        <f t="shared" si="2"/>
        <v>138</v>
      </c>
      <c r="J49" s="85">
        <v>30913</v>
      </c>
    </row>
    <row r="50" spans="1:10" s="13" customFormat="1" ht="15">
      <c r="A50" s="19"/>
      <c r="B50" s="86"/>
      <c r="C50" s="86"/>
      <c r="D50" s="86"/>
      <c r="E50" s="86"/>
      <c r="F50" s="86"/>
      <c r="G50" s="86"/>
      <c r="H50" s="86"/>
      <c r="I50" s="86"/>
      <c r="J50" s="86"/>
    </row>
    <row r="51" spans="1:10" s="13" customFormat="1" ht="15.75">
      <c r="A51" s="30" t="s">
        <v>46</v>
      </c>
      <c r="B51" s="87">
        <f>B12+B32+B49</f>
        <v>11928</v>
      </c>
      <c r="C51" s="87">
        <f aca="true" t="shared" si="3" ref="C51:I51">C12+C32+C49</f>
        <v>9092</v>
      </c>
      <c r="D51" s="87">
        <f t="shared" si="3"/>
        <v>7547</v>
      </c>
      <c r="E51" s="87">
        <f t="shared" si="3"/>
        <v>5131</v>
      </c>
      <c r="F51" s="87">
        <f t="shared" si="3"/>
        <v>3254</v>
      </c>
      <c r="G51" s="87">
        <f t="shared" si="3"/>
        <v>1628</v>
      </c>
      <c r="H51" s="87">
        <f t="shared" si="3"/>
        <v>615</v>
      </c>
      <c r="I51" s="87">
        <f t="shared" si="3"/>
        <v>155</v>
      </c>
      <c r="J51" s="87">
        <v>39350</v>
      </c>
    </row>
    <row r="52" spans="1:10" s="13" customFormat="1" ht="15">
      <c r="A52" s="9"/>
      <c r="J52" s="60"/>
    </row>
    <row r="53" spans="1:10" s="13" customFormat="1" ht="15">
      <c r="A53" s="7" t="s">
        <v>0</v>
      </c>
      <c r="J53" s="60"/>
    </row>
    <row r="54" s="13" customFormat="1" ht="15">
      <c r="J54" s="60"/>
    </row>
    <row r="55" spans="1:10" ht="34.5">
      <c r="A55" s="28" t="s">
        <v>58</v>
      </c>
      <c r="B55" s="28" t="s">
        <v>1</v>
      </c>
      <c r="C55" s="28" t="s">
        <v>2</v>
      </c>
      <c r="D55" s="28" t="s">
        <v>3</v>
      </c>
      <c r="E55" s="28" t="s">
        <v>4</v>
      </c>
      <c r="F55" s="28" t="s">
        <v>5</v>
      </c>
      <c r="G55" s="28" t="s">
        <v>6</v>
      </c>
      <c r="H55" s="28" t="s">
        <v>7</v>
      </c>
      <c r="I55" s="28" t="s">
        <v>8</v>
      </c>
      <c r="J55" s="28" t="s">
        <v>48</v>
      </c>
    </row>
    <row r="56" ht="17.25">
      <c r="A56" s="14"/>
    </row>
    <row r="57" spans="1:10" ht="15.75">
      <c r="A57" s="55" t="s">
        <v>55</v>
      </c>
      <c r="B57" s="56"/>
      <c r="C57" s="56"/>
      <c r="D57" s="56"/>
      <c r="E57" s="56"/>
      <c r="F57" s="56"/>
      <c r="G57" s="56"/>
      <c r="H57" s="56"/>
      <c r="I57" s="56"/>
      <c r="J57" s="61"/>
    </row>
    <row r="58" spans="1:10" ht="15">
      <c r="A58" s="10" t="s">
        <v>9</v>
      </c>
      <c r="B58" s="11">
        <v>368</v>
      </c>
      <c r="C58" s="11">
        <v>334</v>
      </c>
      <c r="D58" s="11">
        <v>197</v>
      </c>
      <c r="E58" s="11">
        <v>129</v>
      </c>
      <c r="F58" s="18">
        <v>78</v>
      </c>
      <c r="G58" s="11">
        <v>30</v>
      </c>
      <c r="H58" s="11">
        <v>11</v>
      </c>
      <c r="I58" s="11">
        <v>3</v>
      </c>
      <c r="J58" s="62">
        <v>1150</v>
      </c>
    </row>
    <row r="59" spans="1:10" ht="15">
      <c r="A59" s="10" t="s">
        <v>10</v>
      </c>
      <c r="B59" s="11">
        <v>311</v>
      </c>
      <c r="C59" s="11">
        <v>174</v>
      </c>
      <c r="D59" s="11">
        <v>115</v>
      </c>
      <c r="E59" s="11">
        <v>69</v>
      </c>
      <c r="F59" s="18">
        <v>47</v>
      </c>
      <c r="G59" s="11">
        <v>19</v>
      </c>
      <c r="H59" s="11">
        <v>3</v>
      </c>
      <c r="I59" s="11"/>
      <c r="J59" s="62">
        <v>738</v>
      </c>
    </row>
    <row r="60" spans="1:10" ht="15">
      <c r="A60" s="10" t="s">
        <v>11</v>
      </c>
      <c r="B60" s="11">
        <v>135</v>
      </c>
      <c r="C60" s="11">
        <v>97</v>
      </c>
      <c r="D60" s="11">
        <v>78</v>
      </c>
      <c r="E60" s="11">
        <v>59</v>
      </c>
      <c r="F60" s="18">
        <v>29</v>
      </c>
      <c r="G60" s="11">
        <v>19</v>
      </c>
      <c r="H60" s="11">
        <v>1</v>
      </c>
      <c r="I60" s="11">
        <v>2</v>
      </c>
      <c r="J60" s="62">
        <v>420</v>
      </c>
    </row>
    <row r="61" spans="1:10" ht="15">
      <c r="A61" s="19" t="s">
        <v>12</v>
      </c>
      <c r="B61" s="12">
        <v>814</v>
      </c>
      <c r="C61" s="12">
        <v>605</v>
      </c>
      <c r="D61" s="12">
        <v>390</v>
      </c>
      <c r="E61" s="12">
        <v>257</v>
      </c>
      <c r="F61" s="20">
        <v>154</v>
      </c>
      <c r="G61" s="12">
        <v>68</v>
      </c>
      <c r="H61" s="12">
        <v>15</v>
      </c>
      <c r="I61" s="12">
        <v>5</v>
      </c>
      <c r="J61" s="62">
        <v>2308</v>
      </c>
    </row>
    <row r="62" ht="15">
      <c r="A62" s="19"/>
    </row>
    <row r="63" spans="1:10" ht="15.75">
      <c r="A63" s="57" t="s">
        <v>56</v>
      </c>
      <c r="B63" s="56"/>
      <c r="C63" s="56"/>
      <c r="D63" s="56"/>
      <c r="E63" s="56"/>
      <c r="F63" s="56"/>
      <c r="G63" s="56"/>
      <c r="H63" s="56"/>
      <c r="I63" s="56"/>
      <c r="J63" s="61"/>
    </row>
    <row r="64" spans="1:10" ht="15">
      <c r="A64" s="10" t="s">
        <v>13</v>
      </c>
      <c r="B64" s="11">
        <v>41</v>
      </c>
      <c r="C64" s="11">
        <v>25</v>
      </c>
      <c r="D64" s="11">
        <v>21</v>
      </c>
      <c r="E64" s="11">
        <v>9</v>
      </c>
      <c r="F64" s="18">
        <v>7</v>
      </c>
      <c r="G64" s="11">
        <v>5</v>
      </c>
      <c r="H64" s="11"/>
      <c r="I64" s="11"/>
      <c r="J64" s="62">
        <v>108</v>
      </c>
    </row>
    <row r="65" spans="1:10" ht="15">
      <c r="A65" s="10" t="s">
        <v>14</v>
      </c>
      <c r="B65" s="11">
        <v>130</v>
      </c>
      <c r="C65" s="11">
        <v>80</v>
      </c>
      <c r="D65" s="11">
        <v>76</v>
      </c>
      <c r="E65" s="11">
        <v>39</v>
      </c>
      <c r="F65" s="18">
        <v>23</v>
      </c>
      <c r="G65" s="11">
        <v>10</v>
      </c>
      <c r="H65" s="11">
        <v>6</v>
      </c>
      <c r="I65" s="11">
        <v>2</v>
      </c>
      <c r="J65" s="62">
        <v>366</v>
      </c>
    </row>
    <row r="66" spans="1:10" ht="15">
      <c r="A66" s="10" t="s">
        <v>15</v>
      </c>
      <c r="B66" s="11">
        <v>103</v>
      </c>
      <c r="C66" s="11">
        <v>69</v>
      </c>
      <c r="D66" s="11">
        <v>60</v>
      </c>
      <c r="E66" s="11">
        <v>37</v>
      </c>
      <c r="F66" s="18">
        <v>15</v>
      </c>
      <c r="G66" s="11">
        <v>8</v>
      </c>
      <c r="H66" s="11">
        <v>1</v>
      </c>
      <c r="I66" s="11">
        <v>2</v>
      </c>
      <c r="J66" s="62">
        <v>295</v>
      </c>
    </row>
    <row r="67" spans="1:10" ht="15">
      <c r="A67" s="10" t="s">
        <v>16</v>
      </c>
      <c r="B67" s="11">
        <v>127</v>
      </c>
      <c r="C67" s="11">
        <v>145</v>
      </c>
      <c r="D67" s="11">
        <v>87</v>
      </c>
      <c r="E67" s="11">
        <v>60</v>
      </c>
      <c r="F67" s="18">
        <v>24</v>
      </c>
      <c r="G67" s="11">
        <v>3</v>
      </c>
      <c r="H67" s="11">
        <v>2</v>
      </c>
      <c r="I67" s="11"/>
      <c r="J67" s="62">
        <v>448</v>
      </c>
    </row>
    <row r="68" spans="1:10" ht="15">
      <c r="A68" s="10" t="s">
        <v>17</v>
      </c>
      <c r="B68" s="11">
        <v>80</v>
      </c>
      <c r="C68" s="11">
        <v>66</v>
      </c>
      <c r="D68" s="11">
        <v>41</v>
      </c>
      <c r="E68" s="11">
        <v>32</v>
      </c>
      <c r="F68" s="18">
        <v>13</v>
      </c>
      <c r="G68" s="11">
        <v>5</v>
      </c>
      <c r="H68" s="11">
        <v>2</v>
      </c>
      <c r="I68" s="11"/>
      <c r="J68" s="62">
        <v>239</v>
      </c>
    </row>
    <row r="69" spans="1:10" ht="15">
      <c r="A69" s="10" t="s">
        <v>18</v>
      </c>
      <c r="B69" s="11">
        <v>198</v>
      </c>
      <c r="C69" s="11">
        <v>139</v>
      </c>
      <c r="D69" s="11">
        <v>78</v>
      </c>
      <c r="E69" s="11">
        <v>67</v>
      </c>
      <c r="F69" s="18">
        <v>32</v>
      </c>
      <c r="G69" s="11">
        <v>11</v>
      </c>
      <c r="H69" s="11">
        <v>1</v>
      </c>
      <c r="I69" s="11"/>
      <c r="J69" s="62">
        <v>526</v>
      </c>
    </row>
    <row r="70" spans="1:10" ht="15">
      <c r="A70" s="10" t="s">
        <v>19</v>
      </c>
      <c r="B70" s="11">
        <v>56</v>
      </c>
      <c r="C70" s="11">
        <v>36</v>
      </c>
      <c r="D70" s="11">
        <v>24</v>
      </c>
      <c r="E70" s="11">
        <v>11</v>
      </c>
      <c r="F70" s="18">
        <v>6</v>
      </c>
      <c r="G70" s="11">
        <v>4</v>
      </c>
      <c r="H70" s="11">
        <v>1</v>
      </c>
      <c r="I70" s="11"/>
      <c r="J70" s="62">
        <v>138</v>
      </c>
    </row>
    <row r="71" spans="1:10" ht="15">
      <c r="A71" s="10" t="s">
        <v>20</v>
      </c>
      <c r="B71" s="11">
        <v>130</v>
      </c>
      <c r="C71" s="11">
        <v>102</v>
      </c>
      <c r="D71" s="11">
        <v>77</v>
      </c>
      <c r="E71" s="11">
        <v>54</v>
      </c>
      <c r="F71" s="18">
        <v>33</v>
      </c>
      <c r="G71" s="11">
        <v>20</v>
      </c>
      <c r="H71" s="11">
        <v>6</v>
      </c>
      <c r="I71" s="11">
        <v>1</v>
      </c>
      <c r="J71" s="62">
        <v>423</v>
      </c>
    </row>
    <row r="72" spans="1:10" ht="15">
      <c r="A72" s="10" t="s">
        <v>21</v>
      </c>
      <c r="B72" s="11">
        <v>82</v>
      </c>
      <c r="C72" s="11">
        <v>58</v>
      </c>
      <c r="D72" s="11">
        <v>58</v>
      </c>
      <c r="E72" s="11">
        <v>35</v>
      </c>
      <c r="F72" s="18">
        <v>18</v>
      </c>
      <c r="G72" s="11">
        <v>7</v>
      </c>
      <c r="H72" s="11">
        <v>1</v>
      </c>
      <c r="I72" s="11"/>
      <c r="J72" s="62">
        <v>259</v>
      </c>
    </row>
    <row r="73" spans="1:10" ht="15">
      <c r="A73" s="10" t="s">
        <v>22</v>
      </c>
      <c r="B73" s="11">
        <v>202</v>
      </c>
      <c r="C73" s="11">
        <v>147</v>
      </c>
      <c r="D73" s="11">
        <v>90</v>
      </c>
      <c r="E73" s="11">
        <v>66</v>
      </c>
      <c r="F73" s="18">
        <v>29</v>
      </c>
      <c r="G73" s="11">
        <v>20</v>
      </c>
      <c r="H73" s="11">
        <v>8</v>
      </c>
      <c r="I73" s="11">
        <v>1</v>
      </c>
      <c r="J73" s="62">
        <v>563</v>
      </c>
    </row>
    <row r="74" spans="1:10" ht="15">
      <c r="A74" s="10" t="s">
        <v>23</v>
      </c>
      <c r="B74" s="11">
        <v>85</v>
      </c>
      <c r="C74" s="11">
        <v>76</v>
      </c>
      <c r="D74" s="11">
        <v>47</v>
      </c>
      <c r="E74" s="11">
        <v>33</v>
      </c>
      <c r="F74" s="18">
        <v>29</v>
      </c>
      <c r="G74" s="11">
        <v>11</v>
      </c>
      <c r="H74" s="11">
        <v>5</v>
      </c>
      <c r="I74" s="11"/>
      <c r="J74" s="62">
        <v>286</v>
      </c>
    </row>
    <row r="75" spans="1:10" ht="15">
      <c r="A75" s="10" t="s">
        <v>24</v>
      </c>
      <c r="B75" s="11">
        <v>80</v>
      </c>
      <c r="C75" s="11">
        <v>68</v>
      </c>
      <c r="D75" s="11">
        <v>49</v>
      </c>
      <c r="E75" s="11">
        <v>24</v>
      </c>
      <c r="F75" s="18">
        <v>24</v>
      </c>
      <c r="G75" s="11">
        <v>4</v>
      </c>
      <c r="H75" s="11">
        <v>1</v>
      </c>
      <c r="I75" s="11">
        <v>1</v>
      </c>
      <c r="J75" s="62">
        <v>251</v>
      </c>
    </row>
    <row r="76" spans="1:10" ht="15">
      <c r="A76" s="10" t="s">
        <v>25</v>
      </c>
      <c r="B76" s="11">
        <v>79</v>
      </c>
      <c r="C76" s="11">
        <v>46</v>
      </c>
      <c r="D76" s="11">
        <v>30</v>
      </c>
      <c r="E76" s="11">
        <v>15</v>
      </c>
      <c r="F76" s="18">
        <v>22</v>
      </c>
      <c r="G76" s="11">
        <v>2</v>
      </c>
      <c r="H76" s="11">
        <v>4</v>
      </c>
      <c r="I76" s="11"/>
      <c r="J76" s="62">
        <v>198</v>
      </c>
    </row>
    <row r="77" spans="1:10" ht="15">
      <c r="A77" s="10" t="s">
        <v>26</v>
      </c>
      <c r="B77" s="11">
        <v>45</v>
      </c>
      <c r="C77" s="11">
        <v>49</v>
      </c>
      <c r="D77" s="11">
        <v>27</v>
      </c>
      <c r="E77" s="11">
        <v>16</v>
      </c>
      <c r="F77" s="18">
        <v>17</v>
      </c>
      <c r="G77" s="11">
        <v>4</v>
      </c>
      <c r="H77" s="11">
        <v>1</v>
      </c>
      <c r="I77" s="11"/>
      <c r="J77" s="62">
        <v>159</v>
      </c>
    </row>
    <row r="78" spans="1:10" ht="15">
      <c r="A78" s="10" t="s">
        <v>27</v>
      </c>
      <c r="B78" s="11">
        <v>91</v>
      </c>
      <c r="C78" s="11">
        <v>78</v>
      </c>
      <c r="D78" s="11">
        <v>54</v>
      </c>
      <c r="E78" s="11">
        <v>37</v>
      </c>
      <c r="F78" s="18">
        <v>20</v>
      </c>
      <c r="G78" s="11">
        <v>13</v>
      </c>
      <c r="H78" s="11">
        <v>3</v>
      </c>
      <c r="I78" s="11"/>
      <c r="J78" s="62">
        <v>296</v>
      </c>
    </row>
    <row r="79" spans="1:10" ht="15">
      <c r="A79" s="10" t="s">
        <v>28</v>
      </c>
      <c r="B79" s="11">
        <v>83</v>
      </c>
      <c r="C79" s="11">
        <v>75</v>
      </c>
      <c r="D79" s="11">
        <v>44</v>
      </c>
      <c r="E79" s="11">
        <v>31</v>
      </c>
      <c r="F79" s="18">
        <v>20</v>
      </c>
      <c r="G79" s="11">
        <v>8</v>
      </c>
      <c r="H79" s="11">
        <v>1</v>
      </c>
      <c r="I79" s="11">
        <v>1</v>
      </c>
      <c r="J79" s="62">
        <v>263</v>
      </c>
    </row>
    <row r="80" spans="1:10" ht="15">
      <c r="A80" s="10" t="s">
        <v>29</v>
      </c>
      <c r="B80" s="11">
        <v>105</v>
      </c>
      <c r="C80" s="11">
        <v>85</v>
      </c>
      <c r="D80" s="11">
        <v>54</v>
      </c>
      <c r="E80" s="11">
        <v>46</v>
      </c>
      <c r="F80" s="18">
        <v>30</v>
      </c>
      <c r="G80" s="11">
        <v>13</v>
      </c>
      <c r="H80" s="11">
        <v>1</v>
      </c>
      <c r="I80" s="11">
        <v>1</v>
      </c>
      <c r="J80" s="62">
        <v>335</v>
      </c>
    </row>
    <row r="81" spans="1:10" ht="15">
      <c r="A81" s="19" t="s">
        <v>12</v>
      </c>
      <c r="B81" s="12">
        <v>1717</v>
      </c>
      <c r="C81" s="12">
        <v>1344</v>
      </c>
      <c r="D81" s="12">
        <v>917</v>
      </c>
      <c r="E81" s="12">
        <v>612</v>
      </c>
      <c r="F81" s="20">
        <v>362</v>
      </c>
      <c r="G81" s="12">
        <v>148</v>
      </c>
      <c r="H81" s="12">
        <v>44</v>
      </c>
      <c r="I81" s="12">
        <v>9</v>
      </c>
      <c r="J81" s="62">
        <v>5153</v>
      </c>
    </row>
    <row r="82" spans="1:3" ht="15">
      <c r="A82" s="19"/>
      <c r="B82" s="12"/>
      <c r="C82" s="12"/>
    </row>
    <row r="83" spans="1:10" ht="15.75">
      <c r="A83" s="57" t="s">
        <v>57</v>
      </c>
      <c r="B83" s="56"/>
      <c r="C83" s="56"/>
      <c r="D83" s="56"/>
      <c r="E83" s="56"/>
      <c r="F83" s="56"/>
      <c r="G83" s="56"/>
      <c r="H83" s="56"/>
      <c r="I83" s="56"/>
      <c r="J83" s="61"/>
    </row>
    <row r="84" spans="1:10" ht="15">
      <c r="A84" s="10" t="s">
        <v>30</v>
      </c>
      <c r="B84" s="11">
        <v>186</v>
      </c>
      <c r="C84" s="11">
        <v>173</v>
      </c>
      <c r="D84" s="11">
        <v>98</v>
      </c>
      <c r="E84" s="11">
        <v>61</v>
      </c>
      <c r="F84" s="18">
        <v>40</v>
      </c>
      <c r="G84" s="11">
        <v>13</v>
      </c>
      <c r="H84" s="11">
        <v>2</v>
      </c>
      <c r="I84" s="11"/>
      <c r="J84" s="62">
        <v>573</v>
      </c>
    </row>
    <row r="85" spans="1:10" ht="15">
      <c r="A85" s="10" t="s">
        <v>31</v>
      </c>
      <c r="B85" s="11">
        <v>250</v>
      </c>
      <c r="C85" s="11">
        <v>166</v>
      </c>
      <c r="D85" s="11">
        <v>153</v>
      </c>
      <c r="E85" s="11">
        <v>111</v>
      </c>
      <c r="F85" s="18">
        <v>54</v>
      </c>
      <c r="G85" s="11">
        <v>35</v>
      </c>
      <c r="H85" s="11">
        <v>16</v>
      </c>
      <c r="I85" s="11">
        <v>3</v>
      </c>
      <c r="J85" s="62">
        <v>788</v>
      </c>
    </row>
    <row r="86" spans="1:10" ht="15">
      <c r="A86" s="10" t="s">
        <v>32</v>
      </c>
      <c r="B86" s="11">
        <v>1109</v>
      </c>
      <c r="C86" s="11">
        <v>890</v>
      </c>
      <c r="D86" s="11">
        <v>533</v>
      </c>
      <c r="E86" s="11">
        <v>348</v>
      </c>
      <c r="F86" s="18">
        <v>231</v>
      </c>
      <c r="G86" s="11">
        <v>103</v>
      </c>
      <c r="H86" s="11">
        <v>39</v>
      </c>
      <c r="I86" s="11">
        <v>13</v>
      </c>
      <c r="J86" s="62">
        <v>3266</v>
      </c>
    </row>
    <row r="87" spans="1:10" ht="15">
      <c r="A87" s="10" t="s">
        <v>33</v>
      </c>
      <c r="B87" s="11">
        <v>45</v>
      </c>
      <c r="C87" s="11">
        <v>23</v>
      </c>
      <c r="D87" s="11">
        <v>15</v>
      </c>
      <c r="E87" s="11">
        <v>15</v>
      </c>
      <c r="F87" s="18">
        <v>10</v>
      </c>
      <c r="G87" s="11">
        <v>4</v>
      </c>
      <c r="H87" s="11">
        <v>1</v>
      </c>
      <c r="I87" s="11">
        <v>1</v>
      </c>
      <c r="J87" s="62">
        <v>114</v>
      </c>
    </row>
    <row r="88" spans="1:10" ht="15">
      <c r="A88" s="10" t="s">
        <v>34</v>
      </c>
      <c r="B88" s="11">
        <v>74</v>
      </c>
      <c r="C88" s="11">
        <v>46</v>
      </c>
      <c r="D88" s="11">
        <v>32</v>
      </c>
      <c r="E88" s="11">
        <v>18</v>
      </c>
      <c r="F88" s="18">
        <v>17</v>
      </c>
      <c r="G88" s="11">
        <v>11</v>
      </c>
      <c r="H88" s="11">
        <v>3</v>
      </c>
      <c r="I88" s="11"/>
      <c r="J88" s="62">
        <v>201</v>
      </c>
    </row>
    <row r="89" spans="1:10" ht="15">
      <c r="A89" s="10" t="s">
        <v>35</v>
      </c>
      <c r="B89" s="11">
        <v>155</v>
      </c>
      <c r="C89" s="11">
        <v>144</v>
      </c>
      <c r="D89" s="11">
        <v>114</v>
      </c>
      <c r="E89" s="11">
        <v>69</v>
      </c>
      <c r="F89" s="18">
        <v>48</v>
      </c>
      <c r="G89" s="11">
        <v>20</v>
      </c>
      <c r="H89" s="11">
        <v>8</v>
      </c>
      <c r="I89" s="11">
        <v>2</v>
      </c>
      <c r="J89" s="62">
        <v>560</v>
      </c>
    </row>
    <row r="90" spans="1:10" ht="15">
      <c r="A90" s="10" t="s">
        <v>36</v>
      </c>
      <c r="B90" s="11">
        <v>31</v>
      </c>
      <c r="C90" s="11">
        <v>33</v>
      </c>
      <c r="D90" s="11">
        <v>19</v>
      </c>
      <c r="E90" s="11">
        <v>20</v>
      </c>
      <c r="F90" s="18">
        <v>15</v>
      </c>
      <c r="G90" s="11">
        <v>7</v>
      </c>
      <c r="H90" s="11">
        <v>2</v>
      </c>
      <c r="I90" s="11"/>
      <c r="J90" s="62">
        <v>127</v>
      </c>
    </row>
    <row r="91" spans="1:10" ht="15">
      <c r="A91" s="10" t="s">
        <v>37</v>
      </c>
      <c r="B91" s="11">
        <v>1065</v>
      </c>
      <c r="C91" s="11">
        <v>947</v>
      </c>
      <c r="D91" s="11">
        <v>654</v>
      </c>
      <c r="E91" s="11">
        <v>435</v>
      </c>
      <c r="F91" s="18">
        <v>310</v>
      </c>
      <c r="G91" s="11">
        <v>148</v>
      </c>
      <c r="H91" s="11">
        <v>59</v>
      </c>
      <c r="I91" s="11">
        <v>19</v>
      </c>
      <c r="J91" s="62">
        <v>3637</v>
      </c>
    </row>
    <row r="92" spans="1:10" ht="15">
      <c r="A92" s="10" t="s">
        <v>38</v>
      </c>
      <c r="B92" s="11">
        <v>4112</v>
      </c>
      <c r="C92" s="11">
        <v>3583</v>
      </c>
      <c r="D92" s="11">
        <v>2634</v>
      </c>
      <c r="E92" s="11">
        <v>1883</v>
      </c>
      <c r="F92" s="18">
        <v>1193</v>
      </c>
      <c r="G92" s="11">
        <v>643</v>
      </c>
      <c r="H92" s="11">
        <v>215</v>
      </c>
      <c r="I92" s="11">
        <v>76</v>
      </c>
      <c r="J92" s="62">
        <v>14339</v>
      </c>
    </row>
    <row r="93" spans="1:10" ht="15">
      <c r="A93" s="10" t="s">
        <v>39</v>
      </c>
      <c r="B93" s="11">
        <v>609</v>
      </c>
      <c r="C93" s="11">
        <v>534</v>
      </c>
      <c r="D93" s="11">
        <v>348</v>
      </c>
      <c r="E93" s="11">
        <v>236</v>
      </c>
      <c r="F93" s="18">
        <v>111</v>
      </c>
      <c r="G93" s="11">
        <v>43</v>
      </c>
      <c r="H93" s="11">
        <v>15</v>
      </c>
      <c r="I93" s="11">
        <v>5</v>
      </c>
      <c r="J93" s="62">
        <v>1901</v>
      </c>
    </row>
    <row r="94" spans="1:10" ht="15">
      <c r="A94" s="49" t="s">
        <v>27</v>
      </c>
      <c r="B94" s="11">
        <v>20</v>
      </c>
      <c r="C94" s="11">
        <v>14</v>
      </c>
      <c r="D94" s="11">
        <v>8</v>
      </c>
      <c r="E94" s="11">
        <v>7</v>
      </c>
      <c r="F94" s="18">
        <v>2</v>
      </c>
      <c r="G94" s="11">
        <v>3</v>
      </c>
      <c r="H94" s="11"/>
      <c r="I94" s="11"/>
      <c r="J94" s="62">
        <v>54</v>
      </c>
    </row>
    <row r="95" spans="1:10" ht="15">
      <c r="A95" s="10" t="s">
        <v>40</v>
      </c>
      <c r="B95" s="11">
        <v>25</v>
      </c>
      <c r="C95" s="11">
        <v>20</v>
      </c>
      <c r="D95" s="11">
        <v>10</v>
      </c>
      <c r="E95" s="11">
        <v>7</v>
      </c>
      <c r="F95" s="18">
        <v>6</v>
      </c>
      <c r="G95" s="11">
        <v>4</v>
      </c>
      <c r="H95" s="11"/>
      <c r="I95" s="11"/>
      <c r="J95" s="62">
        <v>72</v>
      </c>
    </row>
    <row r="96" spans="1:10" ht="15">
      <c r="A96" s="10" t="s">
        <v>41</v>
      </c>
      <c r="B96" s="11">
        <v>80</v>
      </c>
      <c r="C96" s="11">
        <v>56</v>
      </c>
      <c r="D96" s="11">
        <v>60</v>
      </c>
      <c r="E96" s="11">
        <v>32</v>
      </c>
      <c r="F96" s="18">
        <v>11</v>
      </c>
      <c r="G96" s="11">
        <v>4</v>
      </c>
      <c r="H96" s="11"/>
      <c r="I96" s="11">
        <v>1</v>
      </c>
      <c r="J96" s="62">
        <v>244</v>
      </c>
    </row>
    <row r="97" spans="1:10" ht="15">
      <c r="A97" s="10" t="s">
        <v>42</v>
      </c>
      <c r="B97" s="11">
        <v>50</v>
      </c>
      <c r="C97" s="11">
        <v>49</v>
      </c>
      <c r="D97" s="11">
        <v>46</v>
      </c>
      <c r="E97" s="11">
        <v>23</v>
      </c>
      <c r="F97" s="18">
        <v>16</v>
      </c>
      <c r="G97" s="11">
        <v>4</v>
      </c>
      <c r="H97" s="11">
        <v>4</v>
      </c>
      <c r="I97" s="11"/>
      <c r="J97" s="62">
        <v>192</v>
      </c>
    </row>
    <row r="98" spans="1:10" ht="15">
      <c r="A98" s="19" t="s">
        <v>12</v>
      </c>
      <c r="B98" s="12">
        <v>7811</v>
      </c>
      <c r="C98" s="12">
        <v>6678</v>
      </c>
      <c r="D98" s="12">
        <v>4724</v>
      </c>
      <c r="E98" s="12">
        <v>3265</v>
      </c>
      <c r="F98" s="20">
        <v>2064</v>
      </c>
      <c r="G98" s="12">
        <v>1042</v>
      </c>
      <c r="H98" s="12">
        <v>364</v>
      </c>
      <c r="I98" s="12">
        <v>120</v>
      </c>
      <c r="J98" s="62">
        <v>26068</v>
      </c>
    </row>
    <row r="99" spans="1:3" ht="15">
      <c r="A99" s="19"/>
      <c r="B99" s="12"/>
      <c r="C99" s="12"/>
    </row>
    <row r="100" spans="1:10" ht="15.75">
      <c r="A100" s="30" t="s">
        <v>46</v>
      </c>
      <c r="B100" s="33">
        <v>10342</v>
      </c>
      <c r="C100" s="33">
        <v>8627</v>
      </c>
      <c r="D100" s="33">
        <v>6031</v>
      </c>
      <c r="E100" s="33">
        <v>4134</v>
      </c>
      <c r="F100" s="31">
        <v>2580</v>
      </c>
      <c r="G100" s="33">
        <v>1258</v>
      </c>
      <c r="H100" s="33">
        <v>423</v>
      </c>
      <c r="I100" s="33">
        <v>134</v>
      </c>
      <c r="J100" s="33">
        <v>33529</v>
      </c>
    </row>
    <row r="101" spans="1:9" ht="15">
      <c r="A101" s="9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7" t="s">
        <v>0</v>
      </c>
      <c r="B102" s="3"/>
      <c r="C102" s="3"/>
      <c r="D102" s="3"/>
      <c r="E102" s="3"/>
      <c r="F102" s="3"/>
      <c r="G102" s="3"/>
      <c r="H102" s="3"/>
      <c r="I102" s="3"/>
    </row>
    <row r="105" spans="1:10" ht="34.5">
      <c r="A105" s="28" t="s">
        <v>47</v>
      </c>
      <c r="B105" s="28" t="s">
        <v>1</v>
      </c>
      <c r="C105" s="28" t="s">
        <v>2</v>
      </c>
      <c r="D105" s="28" t="s">
        <v>3</v>
      </c>
      <c r="E105" s="28" t="s">
        <v>4</v>
      </c>
      <c r="F105" s="28" t="s">
        <v>5</v>
      </c>
      <c r="G105" s="28" t="s">
        <v>6</v>
      </c>
      <c r="H105" s="28" t="s">
        <v>7</v>
      </c>
      <c r="I105" s="28" t="s">
        <v>8</v>
      </c>
      <c r="J105" s="28" t="s">
        <v>48</v>
      </c>
    </row>
    <row r="106" spans="1:10" ht="17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5.75">
      <c r="A107" s="54" t="s">
        <v>55</v>
      </c>
      <c r="B107" s="16"/>
      <c r="C107" s="16"/>
      <c r="D107" s="16"/>
      <c r="E107" s="16"/>
      <c r="F107" s="16"/>
      <c r="G107" s="16"/>
      <c r="H107" s="16"/>
      <c r="I107" s="16"/>
      <c r="J107" s="17"/>
    </row>
    <row r="108" spans="1:10" ht="15">
      <c r="A108" s="10" t="s">
        <v>9</v>
      </c>
      <c r="B108" s="11">
        <v>316</v>
      </c>
      <c r="C108" s="11">
        <v>222</v>
      </c>
      <c r="D108" s="11">
        <v>146</v>
      </c>
      <c r="E108" s="11">
        <v>97</v>
      </c>
      <c r="F108" s="11">
        <v>70</v>
      </c>
      <c r="G108" s="11">
        <v>31</v>
      </c>
      <c r="H108" s="11">
        <v>9</v>
      </c>
      <c r="I108" s="11">
        <v>3</v>
      </c>
      <c r="J108" s="63">
        <v>894</v>
      </c>
    </row>
    <row r="109" spans="1:10" ht="15">
      <c r="A109" s="10" t="s">
        <v>10</v>
      </c>
      <c r="B109" s="11">
        <v>177</v>
      </c>
      <c r="C109" s="11">
        <v>117</v>
      </c>
      <c r="D109" s="11">
        <v>84</v>
      </c>
      <c r="E109" s="11">
        <v>63</v>
      </c>
      <c r="F109" s="11">
        <v>33</v>
      </c>
      <c r="G109" s="11">
        <v>9</v>
      </c>
      <c r="H109" s="11">
        <v>3</v>
      </c>
      <c r="I109" s="11">
        <v>0</v>
      </c>
      <c r="J109" s="63">
        <v>486</v>
      </c>
    </row>
    <row r="110" spans="1:10" ht="15">
      <c r="A110" s="10" t="s">
        <v>11</v>
      </c>
      <c r="B110" s="11">
        <v>119</v>
      </c>
      <c r="C110" s="11">
        <v>88</v>
      </c>
      <c r="D110" s="11">
        <v>84</v>
      </c>
      <c r="E110" s="11">
        <v>50</v>
      </c>
      <c r="F110" s="11">
        <v>27</v>
      </c>
      <c r="G110" s="11">
        <v>8</v>
      </c>
      <c r="H110" s="11">
        <v>7</v>
      </c>
      <c r="I110" s="11">
        <v>0</v>
      </c>
      <c r="J110" s="63">
        <v>383</v>
      </c>
    </row>
    <row r="111" spans="1:10" ht="15">
      <c r="A111" s="19" t="s">
        <v>12</v>
      </c>
      <c r="B111" s="12">
        <v>612</v>
      </c>
      <c r="C111" s="12">
        <v>427</v>
      </c>
      <c r="D111" s="12">
        <v>314</v>
      </c>
      <c r="E111" s="12">
        <v>210</v>
      </c>
      <c r="F111" s="12">
        <v>130</v>
      </c>
      <c r="G111" s="12">
        <v>48</v>
      </c>
      <c r="H111" s="12">
        <v>19</v>
      </c>
      <c r="I111" s="12">
        <v>3</v>
      </c>
      <c r="J111" s="63">
        <v>1763</v>
      </c>
    </row>
    <row r="112" spans="1:10" ht="15">
      <c r="A112" s="19"/>
      <c r="B112" s="12"/>
      <c r="C112" s="12"/>
      <c r="D112" s="12"/>
      <c r="E112" s="12"/>
      <c r="F112" s="12"/>
      <c r="G112" s="12"/>
      <c r="H112" s="12"/>
      <c r="I112" s="12"/>
      <c r="J112" s="63"/>
    </row>
    <row r="113" spans="1:10" ht="15.75">
      <c r="A113" s="15" t="s">
        <v>56</v>
      </c>
      <c r="B113" s="16"/>
      <c r="C113" s="16"/>
      <c r="D113" s="16"/>
      <c r="E113" s="16"/>
      <c r="F113" s="16"/>
      <c r="G113" s="16"/>
      <c r="H113" s="16"/>
      <c r="I113" s="16"/>
      <c r="J113" s="17"/>
    </row>
    <row r="114" spans="1:10" ht="15">
      <c r="A114" s="10" t="s">
        <v>13</v>
      </c>
      <c r="B114" s="11">
        <v>31</v>
      </c>
      <c r="C114" s="11">
        <v>22</v>
      </c>
      <c r="D114" s="11">
        <v>18</v>
      </c>
      <c r="E114" s="11">
        <v>13</v>
      </c>
      <c r="F114" s="11">
        <v>8</v>
      </c>
      <c r="G114" s="11">
        <v>1</v>
      </c>
      <c r="H114" s="11">
        <v>1</v>
      </c>
      <c r="I114" s="11">
        <v>0</v>
      </c>
      <c r="J114" s="63">
        <v>94</v>
      </c>
    </row>
    <row r="115" spans="1:10" ht="15">
      <c r="A115" s="10" t="s">
        <v>14</v>
      </c>
      <c r="B115" s="11">
        <v>77</v>
      </c>
      <c r="C115" s="11">
        <v>86</v>
      </c>
      <c r="D115" s="11">
        <v>51</v>
      </c>
      <c r="E115" s="11">
        <v>36</v>
      </c>
      <c r="F115" s="11">
        <v>16</v>
      </c>
      <c r="G115" s="11">
        <v>7</v>
      </c>
      <c r="H115" s="11">
        <v>1</v>
      </c>
      <c r="I115" s="11">
        <v>0</v>
      </c>
      <c r="J115" s="63">
        <v>274</v>
      </c>
    </row>
    <row r="116" spans="1:10" ht="15">
      <c r="A116" s="10" t="s">
        <v>15</v>
      </c>
      <c r="B116" s="11">
        <v>82</v>
      </c>
      <c r="C116" s="11">
        <v>60</v>
      </c>
      <c r="D116" s="11">
        <v>53</v>
      </c>
      <c r="E116" s="11">
        <v>33</v>
      </c>
      <c r="F116" s="11">
        <v>10</v>
      </c>
      <c r="G116" s="11">
        <v>6</v>
      </c>
      <c r="H116" s="11">
        <v>2</v>
      </c>
      <c r="I116" s="11">
        <v>0</v>
      </c>
      <c r="J116" s="63">
        <v>246</v>
      </c>
    </row>
    <row r="117" spans="1:10" ht="15">
      <c r="A117" s="10" t="s">
        <v>16</v>
      </c>
      <c r="B117" s="11">
        <v>140</v>
      </c>
      <c r="C117" s="11">
        <v>97</v>
      </c>
      <c r="D117" s="11">
        <v>74</v>
      </c>
      <c r="E117" s="11">
        <v>49</v>
      </c>
      <c r="F117" s="11">
        <v>10</v>
      </c>
      <c r="G117" s="11">
        <v>7</v>
      </c>
      <c r="H117" s="11">
        <v>2</v>
      </c>
      <c r="I117" s="11">
        <v>0</v>
      </c>
      <c r="J117" s="63">
        <v>379</v>
      </c>
    </row>
    <row r="118" spans="1:10" ht="15">
      <c r="A118" s="10" t="s">
        <v>17</v>
      </c>
      <c r="B118" s="11">
        <v>68</v>
      </c>
      <c r="C118" s="11">
        <v>57</v>
      </c>
      <c r="D118" s="11">
        <v>38</v>
      </c>
      <c r="E118" s="11">
        <v>21</v>
      </c>
      <c r="F118" s="11">
        <v>9</v>
      </c>
      <c r="G118" s="11">
        <v>5</v>
      </c>
      <c r="H118" s="11">
        <v>2</v>
      </c>
      <c r="I118" s="11">
        <v>0</v>
      </c>
      <c r="J118" s="63">
        <v>200</v>
      </c>
    </row>
    <row r="119" spans="1:10" ht="15">
      <c r="A119" s="10" t="s">
        <v>18</v>
      </c>
      <c r="B119" s="11">
        <v>163</v>
      </c>
      <c r="C119" s="11">
        <v>87</v>
      </c>
      <c r="D119" s="11">
        <v>85</v>
      </c>
      <c r="E119" s="11">
        <v>43</v>
      </c>
      <c r="F119" s="11">
        <v>16</v>
      </c>
      <c r="G119" s="11">
        <v>9</v>
      </c>
      <c r="H119" s="11">
        <v>2</v>
      </c>
      <c r="I119" s="11">
        <v>0</v>
      </c>
      <c r="J119" s="63">
        <v>405</v>
      </c>
    </row>
    <row r="120" spans="1:10" ht="15">
      <c r="A120" s="10" t="s">
        <v>19</v>
      </c>
      <c r="B120" s="11">
        <v>44</v>
      </c>
      <c r="C120" s="11">
        <v>32</v>
      </c>
      <c r="D120" s="11">
        <v>19</v>
      </c>
      <c r="E120" s="11">
        <v>12</v>
      </c>
      <c r="F120" s="11">
        <v>2</v>
      </c>
      <c r="G120" s="11">
        <v>1</v>
      </c>
      <c r="H120" s="11">
        <v>0</v>
      </c>
      <c r="I120" s="11">
        <v>0</v>
      </c>
      <c r="J120" s="63">
        <v>110</v>
      </c>
    </row>
    <row r="121" spans="1:10" ht="15">
      <c r="A121" s="10" t="s">
        <v>20</v>
      </c>
      <c r="B121" s="11">
        <v>97</v>
      </c>
      <c r="C121" s="11">
        <v>87</v>
      </c>
      <c r="D121" s="11">
        <v>56</v>
      </c>
      <c r="E121" s="11">
        <v>41</v>
      </c>
      <c r="F121" s="11">
        <v>21</v>
      </c>
      <c r="G121" s="11">
        <v>13</v>
      </c>
      <c r="H121" s="11">
        <v>5</v>
      </c>
      <c r="I121" s="11">
        <v>1</v>
      </c>
      <c r="J121" s="63">
        <v>321</v>
      </c>
    </row>
    <row r="122" spans="1:10" ht="15">
      <c r="A122" s="10" t="s">
        <v>21</v>
      </c>
      <c r="B122" s="11">
        <v>59</v>
      </c>
      <c r="C122" s="11">
        <v>54</v>
      </c>
      <c r="D122" s="11">
        <v>47</v>
      </c>
      <c r="E122" s="11">
        <v>22</v>
      </c>
      <c r="F122" s="11">
        <v>13</v>
      </c>
      <c r="G122" s="11">
        <v>4</v>
      </c>
      <c r="H122" s="11">
        <v>0</v>
      </c>
      <c r="I122" s="11">
        <v>0</v>
      </c>
      <c r="J122" s="63">
        <v>199</v>
      </c>
    </row>
    <row r="123" spans="1:10" ht="15">
      <c r="A123" s="10" t="s">
        <v>22</v>
      </c>
      <c r="B123" s="11">
        <v>175</v>
      </c>
      <c r="C123" s="11">
        <v>105</v>
      </c>
      <c r="D123" s="11">
        <v>81</v>
      </c>
      <c r="E123" s="11">
        <v>46</v>
      </c>
      <c r="F123" s="11">
        <v>22</v>
      </c>
      <c r="G123" s="11">
        <v>15</v>
      </c>
      <c r="H123" s="11">
        <v>0</v>
      </c>
      <c r="I123" s="11">
        <v>1</v>
      </c>
      <c r="J123" s="63">
        <v>445</v>
      </c>
    </row>
    <row r="124" spans="1:10" ht="15">
      <c r="A124" s="10" t="s">
        <v>23</v>
      </c>
      <c r="B124" s="11">
        <v>77</v>
      </c>
      <c r="C124" s="11">
        <v>57</v>
      </c>
      <c r="D124" s="11">
        <v>58</v>
      </c>
      <c r="E124" s="11">
        <v>32</v>
      </c>
      <c r="F124" s="11">
        <v>20</v>
      </c>
      <c r="G124" s="11">
        <v>9</v>
      </c>
      <c r="H124" s="11">
        <v>1</v>
      </c>
      <c r="I124" s="11">
        <v>1</v>
      </c>
      <c r="J124" s="63">
        <v>255</v>
      </c>
    </row>
    <row r="125" spans="1:10" ht="15">
      <c r="A125" s="10" t="s">
        <v>24</v>
      </c>
      <c r="B125" s="11">
        <v>76</v>
      </c>
      <c r="C125" s="11">
        <v>56</v>
      </c>
      <c r="D125" s="11">
        <v>36</v>
      </c>
      <c r="E125" s="11">
        <v>30</v>
      </c>
      <c r="F125" s="11">
        <v>12</v>
      </c>
      <c r="G125" s="11">
        <v>2</v>
      </c>
      <c r="H125" s="11">
        <v>2</v>
      </c>
      <c r="I125" s="11">
        <v>0</v>
      </c>
      <c r="J125" s="63">
        <v>214</v>
      </c>
    </row>
    <row r="126" spans="1:10" ht="15">
      <c r="A126" s="10" t="s">
        <v>25</v>
      </c>
      <c r="B126" s="11">
        <v>51</v>
      </c>
      <c r="C126" s="11">
        <v>40</v>
      </c>
      <c r="D126" s="11">
        <v>20</v>
      </c>
      <c r="E126" s="11">
        <v>22</v>
      </c>
      <c r="F126" s="11">
        <v>8</v>
      </c>
      <c r="G126" s="11">
        <v>3</v>
      </c>
      <c r="H126" s="11">
        <v>0</v>
      </c>
      <c r="I126" s="11">
        <v>0</v>
      </c>
      <c r="J126" s="63">
        <v>144</v>
      </c>
    </row>
    <row r="127" spans="1:10" ht="15">
      <c r="A127" s="10" t="s">
        <v>26</v>
      </c>
      <c r="B127" s="11">
        <v>53</v>
      </c>
      <c r="C127" s="11">
        <v>28</v>
      </c>
      <c r="D127" s="11">
        <v>17</v>
      </c>
      <c r="E127" s="11">
        <v>18</v>
      </c>
      <c r="F127" s="11">
        <v>5</v>
      </c>
      <c r="G127" s="11">
        <v>3</v>
      </c>
      <c r="H127" s="11">
        <v>1</v>
      </c>
      <c r="I127" s="11">
        <v>0</v>
      </c>
      <c r="J127" s="63">
        <v>125</v>
      </c>
    </row>
    <row r="128" spans="1:10" ht="15">
      <c r="A128" s="10" t="s">
        <v>27</v>
      </c>
      <c r="B128" s="11">
        <v>106</v>
      </c>
      <c r="C128" s="11">
        <v>68</v>
      </c>
      <c r="D128" s="11">
        <v>55</v>
      </c>
      <c r="E128" s="11">
        <v>35</v>
      </c>
      <c r="F128" s="11">
        <v>25</v>
      </c>
      <c r="G128" s="11">
        <v>7</v>
      </c>
      <c r="H128" s="11">
        <v>2</v>
      </c>
      <c r="I128" s="11">
        <v>1</v>
      </c>
      <c r="J128" s="63">
        <v>299</v>
      </c>
    </row>
    <row r="129" spans="1:10" ht="15">
      <c r="A129" s="10" t="s">
        <v>28</v>
      </c>
      <c r="B129" s="11">
        <v>79</v>
      </c>
      <c r="C129" s="11">
        <v>61</v>
      </c>
      <c r="D129" s="11">
        <v>59</v>
      </c>
      <c r="E129" s="11">
        <v>24</v>
      </c>
      <c r="F129" s="11">
        <v>22</v>
      </c>
      <c r="G129" s="11">
        <v>4</v>
      </c>
      <c r="H129" s="11">
        <v>0</v>
      </c>
      <c r="I129" s="11">
        <v>0</v>
      </c>
      <c r="J129" s="63">
        <v>249</v>
      </c>
    </row>
    <row r="130" spans="1:10" ht="15">
      <c r="A130" s="10" t="s">
        <v>29</v>
      </c>
      <c r="B130" s="11">
        <v>98</v>
      </c>
      <c r="C130" s="11">
        <v>70</v>
      </c>
      <c r="D130" s="11">
        <v>57</v>
      </c>
      <c r="E130" s="11">
        <v>53</v>
      </c>
      <c r="F130" s="11">
        <v>19</v>
      </c>
      <c r="G130" s="11">
        <v>2</v>
      </c>
      <c r="H130" s="11">
        <v>3</v>
      </c>
      <c r="I130" s="11">
        <v>2</v>
      </c>
      <c r="J130" s="63">
        <v>304</v>
      </c>
    </row>
    <row r="131" spans="1:10" ht="15">
      <c r="A131" s="19" t="s">
        <v>12</v>
      </c>
      <c r="B131" s="12">
        <v>1476</v>
      </c>
      <c r="C131" s="12">
        <v>1067</v>
      </c>
      <c r="D131" s="12">
        <v>824</v>
      </c>
      <c r="E131" s="12">
        <v>530</v>
      </c>
      <c r="F131" s="12">
        <v>238</v>
      </c>
      <c r="G131" s="12">
        <v>98</v>
      </c>
      <c r="H131" s="12">
        <v>24</v>
      </c>
      <c r="I131" s="12">
        <v>6</v>
      </c>
      <c r="J131" s="63">
        <v>4263</v>
      </c>
    </row>
    <row r="132" spans="1:10" ht="15">
      <c r="A132" s="19"/>
      <c r="B132" s="12"/>
      <c r="C132" s="12"/>
      <c r="D132" s="12"/>
      <c r="E132" s="12"/>
      <c r="F132" s="12"/>
      <c r="G132" s="12"/>
      <c r="H132" s="12"/>
      <c r="I132" s="12"/>
      <c r="J132" s="63"/>
    </row>
    <row r="133" spans="1:10" ht="15.75">
      <c r="A133" s="15" t="s">
        <v>57</v>
      </c>
      <c r="B133" s="16"/>
      <c r="C133" s="16"/>
      <c r="D133" s="16"/>
      <c r="E133" s="16"/>
      <c r="F133" s="16"/>
      <c r="G133" s="16"/>
      <c r="H133" s="16"/>
      <c r="I133" s="16"/>
      <c r="J133" s="17"/>
    </row>
    <row r="134" spans="1:10" ht="15">
      <c r="A134" s="10" t="s">
        <v>30</v>
      </c>
      <c r="B134" s="11">
        <v>150</v>
      </c>
      <c r="C134" s="11">
        <v>98</v>
      </c>
      <c r="D134" s="11">
        <v>68</v>
      </c>
      <c r="E134" s="11">
        <v>40</v>
      </c>
      <c r="F134" s="11">
        <v>20</v>
      </c>
      <c r="G134" s="11">
        <v>9</v>
      </c>
      <c r="H134" s="11">
        <v>4</v>
      </c>
      <c r="I134" s="11">
        <v>0</v>
      </c>
      <c r="J134" s="63">
        <v>389</v>
      </c>
    </row>
    <row r="135" spans="1:10" ht="15">
      <c r="A135" s="10" t="s">
        <v>31</v>
      </c>
      <c r="B135" s="11">
        <v>188</v>
      </c>
      <c r="C135" s="11">
        <v>144</v>
      </c>
      <c r="D135" s="11">
        <v>119</v>
      </c>
      <c r="E135" s="11">
        <v>71</v>
      </c>
      <c r="F135" s="11">
        <v>55</v>
      </c>
      <c r="G135" s="11">
        <v>32</v>
      </c>
      <c r="H135" s="11">
        <v>8</v>
      </c>
      <c r="I135" s="11">
        <v>6</v>
      </c>
      <c r="J135" s="63">
        <v>623</v>
      </c>
    </row>
    <row r="136" spans="1:10" ht="15">
      <c r="A136" s="10" t="s">
        <v>32</v>
      </c>
      <c r="B136" s="11">
        <v>890</v>
      </c>
      <c r="C136" s="11">
        <v>538</v>
      </c>
      <c r="D136" s="11">
        <v>366</v>
      </c>
      <c r="E136" s="11">
        <v>232</v>
      </c>
      <c r="F136" s="11">
        <v>130</v>
      </c>
      <c r="G136" s="11">
        <v>57</v>
      </c>
      <c r="H136" s="11">
        <v>33</v>
      </c>
      <c r="I136" s="11">
        <v>17</v>
      </c>
      <c r="J136" s="63">
        <v>2263</v>
      </c>
    </row>
    <row r="137" spans="1:10" ht="15">
      <c r="A137" s="10" t="s">
        <v>33</v>
      </c>
      <c r="B137" s="11">
        <v>25</v>
      </c>
      <c r="C137" s="11">
        <v>15</v>
      </c>
      <c r="D137" s="11">
        <v>17</v>
      </c>
      <c r="E137" s="11">
        <v>12</v>
      </c>
      <c r="F137" s="11">
        <v>8</v>
      </c>
      <c r="G137" s="11">
        <v>1</v>
      </c>
      <c r="H137" s="11">
        <v>0</v>
      </c>
      <c r="I137" s="11">
        <v>1</v>
      </c>
      <c r="J137" s="63">
        <v>79</v>
      </c>
    </row>
    <row r="138" spans="1:10" ht="15">
      <c r="A138" s="10" t="s">
        <v>34</v>
      </c>
      <c r="B138" s="11">
        <v>49</v>
      </c>
      <c r="C138" s="11">
        <v>41</v>
      </c>
      <c r="D138" s="11">
        <v>22</v>
      </c>
      <c r="E138" s="11">
        <v>25</v>
      </c>
      <c r="F138" s="11">
        <v>26</v>
      </c>
      <c r="G138" s="11">
        <v>4</v>
      </c>
      <c r="H138" s="11">
        <v>2</v>
      </c>
      <c r="I138" s="11">
        <v>0</v>
      </c>
      <c r="J138" s="63">
        <v>169</v>
      </c>
    </row>
    <row r="139" spans="1:10" ht="15">
      <c r="A139" s="10" t="s">
        <v>35</v>
      </c>
      <c r="B139" s="11">
        <v>148</v>
      </c>
      <c r="C139" s="11">
        <v>109</v>
      </c>
      <c r="D139" s="11">
        <v>89</v>
      </c>
      <c r="E139" s="11">
        <v>58</v>
      </c>
      <c r="F139" s="11">
        <v>37</v>
      </c>
      <c r="G139" s="11">
        <v>19</v>
      </c>
      <c r="H139" s="11">
        <v>11</v>
      </c>
      <c r="I139" s="11">
        <v>0</v>
      </c>
      <c r="J139" s="63">
        <v>471</v>
      </c>
    </row>
    <row r="140" spans="1:10" ht="15">
      <c r="A140" s="10" t="s">
        <v>36</v>
      </c>
      <c r="B140" s="11">
        <v>35</v>
      </c>
      <c r="C140" s="11">
        <v>22</v>
      </c>
      <c r="D140" s="11">
        <v>17</v>
      </c>
      <c r="E140" s="11">
        <v>19</v>
      </c>
      <c r="F140" s="11">
        <v>11</v>
      </c>
      <c r="G140" s="11">
        <v>3</v>
      </c>
      <c r="H140" s="11">
        <v>0</v>
      </c>
      <c r="I140" s="11">
        <v>0</v>
      </c>
      <c r="J140" s="63">
        <v>107</v>
      </c>
    </row>
    <row r="141" spans="1:10" ht="15">
      <c r="A141" s="10" t="s">
        <v>37</v>
      </c>
      <c r="B141" s="11">
        <v>1031</v>
      </c>
      <c r="C141" s="11">
        <v>745</v>
      </c>
      <c r="D141" s="11">
        <v>492</v>
      </c>
      <c r="E141" s="11">
        <v>339</v>
      </c>
      <c r="F141" s="11">
        <v>209</v>
      </c>
      <c r="G141" s="11">
        <v>90</v>
      </c>
      <c r="H141" s="11">
        <v>36</v>
      </c>
      <c r="I141" s="11">
        <v>14</v>
      </c>
      <c r="J141" s="63">
        <v>2956</v>
      </c>
    </row>
    <row r="142" spans="1:10" ht="15">
      <c r="A142" s="10" t="s">
        <v>38</v>
      </c>
      <c r="B142" s="11">
        <v>4052</v>
      </c>
      <c r="C142" s="11">
        <v>2972</v>
      </c>
      <c r="D142" s="11">
        <v>2201</v>
      </c>
      <c r="E142" s="11">
        <v>1545</v>
      </c>
      <c r="F142" s="11">
        <v>972</v>
      </c>
      <c r="G142" s="11">
        <v>449</v>
      </c>
      <c r="H142" s="11">
        <v>168</v>
      </c>
      <c r="I142" s="11">
        <v>68</v>
      </c>
      <c r="J142" s="63">
        <v>12427</v>
      </c>
    </row>
    <row r="143" spans="1:10" ht="15">
      <c r="A143" s="10" t="s">
        <v>39</v>
      </c>
      <c r="B143" s="11">
        <v>530</v>
      </c>
      <c r="C143" s="11">
        <v>358</v>
      </c>
      <c r="D143" s="11">
        <v>253</v>
      </c>
      <c r="E143" s="11">
        <v>160</v>
      </c>
      <c r="F143" s="11">
        <v>76</v>
      </c>
      <c r="G143" s="11">
        <v>32</v>
      </c>
      <c r="H143" s="11">
        <v>7</v>
      </c>
      <c r="I143" s="11">
        <v>2</v>
      </c>
      <c r="J143" s="63">
        <v>1418</v>
      </c>
    </row>
    <row r="144" spans="1:10" ht="15">
      <c r="A144" s="10" t="s">
        <v>40</v>
      </c>
      <c r="B144" s="11">
        <v>23</v>
      </c>
      <c r="C144" s="11">
        <v>13</v>
      </c>
      <c r="D144" s="11">
        <v>11</v>
      </c>
      <c r="E144" s="11">
        <v>6</v>
      </c>
      <c r="F144" s="11">
        <v>2</v>
      </c>
      <c r="G144" s="11">
        <v>2</v>
      </c>
      <c r="H144" s="11">
        <v>0</v>
      </c>
      <c r="I144" s="11">
        <v>0</v>
      </c>
      <c r="J144" s="63">
        <v>57</v>
      </c>
    </row>
    <row r="145" spans="1:10" ht="15">
      <c r="A145" s="10" t="s">
        <v>41</v>
      </c>
      <c r="B145" s="11">
        <v>82</v>
      </c>
      <c r="C145" s="11">
        <v>73</v>
      </c>
      <c r="D145" s="11">
        <v>44</v>
      </c>
      <c r="E145" s="11">
        <v>23</v>
      </c>
      <c r="F145" s="11">
        <v>11</v>
      </c>
      <c r="G145" s="11">
        <v>1</v>
      </c>
      <c r="H145" s="11">
        <v>2</v>
      </c>
      <c r="I145" s="11">
        <v>0</v>
      </c>
      <c r="J145" s="63">
        <v>236</v>
      </c>
    </row>
    <row r="146" spans="1:10" ht="15">
      <c r="A146" s="10" t="s">
        <v>42</v>
      </c>
      <c r="B146" s="11">
        <v>60</v>
      </c>
      <c r="C146" s="11">
        <v>56</v>
      </c>
      <c r="D146" s="11">
        <v>33</v>
      </c>
      <c r="E146" s="11">
        <v>25</v>
      </c>
      <c r="F146" s="11">
        <v>14</v>
      </c>
      <c r="G146" s="11">
        <v>7</v>
      </c>
      <c r="H146" s="11">
        <v>0</v>
      </c>
      <c r="I146" s="11">
        <v>0</v>
      </c>
      <c r="J146" s="63">
        <v>195</v>
      </c>
    </row>
    <row r="147" spans="1:10" ht="15">
      <c r="A147" s="19" t="s">
        <v>12</v>
      </c>
      <c r="B147" s="12">
        <v>7263</v>
      </c>
      <c r="C147" s="12">
        <v>5184</v>
      </c>
      <c r="D147" s="12">
        <v>3732</v>
      </c>
      <c r="E147" s="12">
        <v>2555</v>
      </c>
      <c r="F147" s="12">
        <v>1571</v>
      </c>
      <c r="G147" s="12">
        <v>706</v>
      </c>
      <c r="H147" s="12">
        <v>271</v>
      </c>
      <c r="I147" s="12">
        <v>108</v>
      </c>
      <c r="J147" s="63">
        <v>21390</v>
      </c>
    </row>
    <row r="148" spans="1:10" ht="15">
      <c r="A148" s="19"/>
      <c r="B148" s="12"/>
      <c r="C148" s="12"/>
      <c r="D148" s="12"/>
      <c r="E148" s="12"/>
      <c r="F148" s="12"/>
      <c r="G148" s="12"/>
      <c r="H148" s="12"/>
      <c r="I148" s="12"/>
      <c r="J148" s="63"/>
    </row>
    <row r="149" spans="1:10" ht="15.75">
      <c r="A149" s="30" t="s">
        <v>46</v>
      </c>
      <c r="B149" s="33">
        <v>9351</v>
      </c>
      <c r="C149" s="33">
        <v>6678</v>
      </c>
      <c r="D149" s="33">
        <v>4870</v>
      </c>
      <c r="E149" s="33">
        <v>3295</v>
      </c>
      <c r="F149" s="33">
        <v>1939</v>
      </c>
      <c r="G149" s="33">
        <v>852</v>
      </c>
      <c r="H149" s="33">
        <v>314</v>
      </c>
      <c r="I149" s="33">
        <v>117</v>
      </c>
      <c r="J149" s="31">
        <v>27416</v>
      </c>
    </row>
    <row r="150" spans="1:9" ht="15">
      <c r="A150" s="9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7" t="s">
        <v>0</v>
      </c>
      <c r="B151" s="3"/>
      <c r="C151" s="3"/>
      <c r="D151" s="3"/>
      <c r="E151" s="3"/>
      <c r="F151" s="3"/>
      <c r="G151" s="3"/>
      <c r="H151" s="3"/>
      <c r="I151" s="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2" r:id="rId1"/>
  <headerFoot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7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9.00390625" style="0" customWidth="1"/>
  </cols>
  <sheetData>
    <row r="2" spans="1:12" ht="19.5">
      <c r="A2" s="73" t="s">
        <v>160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0"/>
    </row>
    <row r="3" ht="15">
      <c r="A3" s="1"/>
    </row>
    <row r="4" ht="12.75">
      <c r="A4" s="7" t="s">
        <v>161</v>
      </c>
    </row>
    <row r="6" spans="1:13" ht="17.25">
      <c r="A6" s="93"/>
      <c r="B6" s="95" t="s">
        <v>162</v>
      </c>
      <c r="C6" s="96"/>
      <c r="D6" s="96"/>
      <c r="E6" s="96"/>
      <c r="F6" s="96"/>
      <c r="G6" s="97"/>
      <c r="H6" s="95" t="s">
        <v>163</v>
      </c>
      <c r="I6" s="96"/>
      <c r="J6" s="96"/>
      <c r="K6" s="96"/>
      <c r="L6" s="96"/>
      <c r="M6" s="97"/>
    </row>
    <row r="7" spans="1:13" ht="17.25">
      <c r="A7" s="93"/>
      <c r="B7" s="98" t="s">
        <v>59</v>
      </c>
      <c r="C7" s="99"/>
      <c r="D7" s="99" t="s">
        <v>60</v>
      </c>
      <c r="E7" s="99"/>
      <c r="F7" s="99" t="s">
        <v>12</v>
      </c>
      <c r="G7" s="100"/>
      <c r="H7" s="98" t="s">
        <v>59</v>
      </c>
      <c r="I7" s="99"/>
      <c r="J7" s="99" t="s">
        <v>60</v>
      </c>
      <c r="K7" s="99"/>
      <c r="L7" s="99" t="s">
        <v>12</v>
      </c>
      <c r="M7" s="100"/>
    </row>
    <row r="8" spans="1:13" ht="47.25">
      <c r="A8" s="93"/>
      <c r="B8" s="45" t="s">
        <v>54</v>
      </c>
      <c r="C8" s="29" t="s">
        <v>49</v>
      </c>
      <c r="D8" s="29" t="s">
        <v>54</v>
      </c>
      <c r="E8" s="29" t="s">
        <v>49</v>
      </c>
      <c r="F8" s="29" t="s">
        <v>54</v>
      </c>
      <c r="G8" s="44" t="s">
        <v>49</v>
      </c>
      <c r="H8" s="45" t="s">
        <v>54</v>
      </c>
      <c r="I8" s="29" t="s">
        <v>49</v>
      </c>
      <c r="J8" s="29" t="s">
        <v>54</v>
      </c>
      <c r="K8" s="29" t="s">
        <v>49</v>
      </c>
      <c r="L8" s="29" t="s">
        <v>54</v>
      </c>
      <c r="M8" s="44" t="s">
        <v>49</v>
      </c>
    </row>
    <row r="9" spans="1:13" ht="15" customHeight="1">
      <c r="A9" s="36" t="s">
        <v>61</v>
      </c>
      <c r="B9" s="48">
        <v>355</v>
      </c>
      <c r="C9" s="76">
        <v>10.316768381284511</v>
      </c>
      <c r="D9" s="46">
        <v>384</v>
      </c>
      <c r="E9" s="76">
        <v>11.159546643417611</v>
      </c>
      <c r="F9" s="46">
        <v>739</v>
      </c>
      <c r="G9" s="77">
        <v>21.47631502470212</v>
      </c>
      <c r="H9" s="48">
        <v>383</v>
      </c>
      <c r="I9" s="76">
        <v>21.638418079096045</v>
      </c>
      <c r="J9" s="46">
        <v>459</v>
      </c>
      <c r="K9" s="76">
        <v>24.6641590542719</v>
      </c>
      <c r="L9" s="46">
        <v>842</v>
      </c>
      <c r="M9" s="77">
        <v>23.189204076012118</v>
      </c>
    </row>
    <row r="10" spans="1:13" ht="15" customHeight="1">
      <c r="A10" s="36" t="s">
        <v>62</v>
      </c>
      <c r="B10" s="48">
        <v>313</v>
      </c>
      <c r="C10" s="76">
        <v>8.500814774579032</v>
      </c>
      <c r="D10" s="46">
        <v>344</v>
      </c>
      <c r="E10" s="76">
        <v>9.342748506246606</v>
      </c>
      <c r="F10" s="46">
        <v>657</v>
      </c>
      <c r="G10" s="77">
        <v>17.843563280825638</v>
      </c>
      <c r="H10" s="48">
        <v>341</v>
      </c>
      <c r="I10" s="76">
        <v>18.777533039647576</v>
      </c>
      <c r="J10" s="46">
        <v>399</v>
      </c>
      <c r="K10" s="76">
        <v>20.857292211186618</v>
      </c>
      <c r="L10" s="46">
        <v>740</v>
      </c>
      <c r="M10" s="77">
        <v>19.84446232233843</v>
      </c>
    </row>
    <row r="11" spans="1:13" ht="15" customHeight="1">
      <c r="A11" s="36" t="s">
        <v>63</v>
      </c>
      <c r="B11" s="48">
        <v>327</v>
      </c>
      <c r="C11" s="76">
        <v>13.932680017043033</v>
      </c>
      <c r="D11" s="46">
        <v>313</v>
      </c>
      <c r="E11" s="76">
        <v>13.336173838943333</v>
      </c>
      <c r="F11" s="46">
        <v>640</v>
      </c>
      <c r="G11" s="77">
        <v>27.268853855986364</v>
      </c>
      <c r="H11" s="48">
        <v>280</v>
      </c>
      <c r="I11" s="76">
        <v>26.31578947368421</v>
      </c>
      <c r="J11" s="46">
        <v>317</v>
      </c>
      <c r="K11" s="76">
        <v>30.68731848983543</v>
      </c>
      <c r="L11" s="46">
        <v>597</v>
      </c>
      <c r="M11" s="77">
        <v>28.469241773962807</v>
      </c>
    </row>
    <row r="12" spans="1:13" ht="15" customHeight="1">
      <c r="A12" s="36" t="s">
        <v>64</v>
      </c>
      <c r="B12" s="48">
        <v>189</v>
      </c>
      <c r="C12" s="76">
        <v>5.1275094953879545</v>
      </c>
      <c r="D12" s="46">
        <v>230</v>
      </c>
      <c r="E12" s="76">
        <v>6.239826370048833</v>
      </c>
      <c r="F12" s="46">
        <v>419</v>
      </c>
      <c r="G12" s="77">
        <v>11.367335865436788</v>
      </c>
      <c r="H12" s="48">
        <v>239</v>
      </c>
      <c r="I12" s="76">
        <v>14.075382803297998</v>
      </c>
      <c r="J12" s="46">
        <v>302</v>
      </c>
      <c r="K12" s="76">
        <v>15.680166147455868</v>
      </c>
      <c r="L12" s="46">
        <v>541</v>
      </c>
      <c r="M12" s="77">
        <v>14.928256070640177</v>
      </c>
    </row>
    <row r="13" spans="1:13" ht="27.75" customHeight="1">
      <c r="A13" s="36" t="s">
        <v>135</v>
      </c>
      <c r="B13" s="48">
        <v>164</v>
      </c>
      <c r="C13" s="76">
        <v>6.089862606758262</v>
      </c>
      <c r="D13" s="46">
        <v>236</v>
      </c>
      <c r="E13" s="76">
        <v>8.76346082435945</v>
      </c>
      <c r="F13" s="46">
        <v>400</v>
      </c>
      <c r="G13" s="77">
        <v>14.853323431117712</v>
      </c>
      <c r="H13" s="48">
        <v>171</v>
      </c>
      <c r="I13" s="76">
        <v>13.913751017087062</v>
      </c>
      <c r="J13" s="46">
        <v>225</v>
      </c>
      <c r="K13" s="76">
        <v>16.363636363636363</v>
      </c>
      <c r="L13" s="46">
        <v>396</v>
      </c>
      <c r="M13" s="77">
        <v>15.207373271889402</v>
      </c>
    </row>
    <row r="14" spans="1:13" ht="15" customHeight="1">
      <c r="A14" s="36" t="s">
        <v>65</v>
      </c>
      <c r="B14" s="48">
        <v>130</v>
      </c>
      <c r="C14" s="76">
        <v>10.16419077404222</v>
      </c>
      <c r="D14" s="46">
        <v>143</v>
      </c>
      <c r="E14" s="76">
        <v>11.180609851446443</v>
      </c>
      <c r="F14" s="46">
        <v>273</v>
      </c>
      <c r="G14" s="77">
        <v>21.344800625488663</v>
      </c>
      <c r="H14" s="48">
        <v>157</v>
      </c>
      <c r="I14" s="76">
        <v>22.852983988355167</v>
      </c>
      <c r="J14" s="46">
        <v>166</v>
      </c>
      <c r="K14" s="76">
        <v>22.833562585969737</v>
      </c>
      <c r="L14" s="46">
        <v>323</v>
      </c>
      <c r="M14" s="77">
        <v>22.842998585572843</v>
      </c>
    </row>
    <row r="15" spans="1:13" ht="15" customHeight="1">
      <c r="A15" s="36" t="s">
        <v>66</v>
      </c>
      <c r="B15" s="48">
        <v>224</v>
      </c>
      <c r="C15" s="76">
        <v>7.51930177912051</v>
      </c>
      <c r="D15" s="46">
        <v>334</v>
      </c>
      <c r="E15" s="76">
        <v>11.211816045652903</v>
      </c>
      <c r="F15" s="46">
        <v>558</v>
      </c>
      <c r="G15" s="77">
        <v>18.731117824773413</v>
      </c>
      <c r="H15" s="48">
        <v>236</v>
      </c>
      <c r="I15" s="76">
        <v>17.327459618208515</v>
      </c>
      <c r="J15" s="46">
        <v>360</v>
      </c>
      <c r="K15" s="76">
        <v>22.756005056890015</v>
      </c>
      <c r="L15" s="46">
        <v>596</v>
      </c>
      <c r="M15" s="77">
        <v>20.244565217391305</v>
      </c>
    </row>
    <row r="16" spans="1:13" ht="15" customHeight="1">
      <c r="A16" s="36" t="s">
        <v>67</v>
      </c>
      <c r="B16" s="48">
        <v>259</v>
      </c>
      <c r="C16" s="76">
        <v>9.113300492610838</v>
      </c>
      <c r="D16" s="46">
        <v>326</v>
      </c>
      <c r="E16" s="76">
        <v>11.47079521463758</v>
      </c>
      <c r="F16" s="46">
        <v>585</v>
      </c>
      <c r="G16" s="77">
        <v>20.584095707248416</v>
      </c>
      <c r="H16" s="48">
        <v>218</v>
      </c>
      <c r="I16" s="76">
        <v>16.756341275941583</v>
      </c>
      <c r="J16" s="46">
        <v>329</v>
      </c>
      <c r="K16" s="76">
        <v>23.023093072078378</v>
      </c>
      <c r="L16" s="46">
        <v>547</v>
      </c>
      <c r="M16" s="77">
        <v>20.036630036630036</v>
      </c>
    </row>
    <row r="17" spans="1:13" ht="15" customHeight="1">
      <c r="A17" s="36" t="s">
        <v>68</v>
      </c>
      <c r="B17" s="48">
        <v>132</v>
      </c>
      <c r="C17" s="76">
        <v>7.150595882990249</v>
      </c>
      <c r="D17" s="46">
        <v>120</v>
      </c>
      <c r="E17" s="76">
        <v>6.500541711809317</v>
      </c>
      <c r="F17" s="46">
        <v>252</v>
      </c>
      <c r="G17" s="77">
        <v>13.651137594799568</v>
      </c>
      <c r="H17" s="48">
        <v>133</v>
      </c>
      <c r="I17" s="76">
        <v>19.762258543833582</v>
      </c>
      <c r="J17" s="46">
        <v>118</v>
      </c>
      <c r="K17" s="76">
        <v>16.275862068965516</v>
      </c>
      <c r="L17" s="46">
        <v>251</v>
      </c>
      <c r="M17" s="77">
        <v>17.954220314735338</v>
      </c>
    </row>
    <row r="18" spans="1:13" ht="15" customHeight="1">
      <c r="A18" s="36" t="s">
        <v>69</v>
      </c>
      <c r="B18" s="48">
        <v>99</v>
      </c>
      <c r="C18" s="76">
        <v>5.116279069767442</v>
      </c>
      <c r="D18" s="46">
        <v>133</v>
      </c>
      <c r="E18" s="76">
        <v>6.873385012919897</v>
      </c>
      <c r="F18" s="46">
        <v>232</v>
      </c>
      <c r="G18" s="77">
        <v>11.989664082687339</v>
      </c>
      <c r="H18" s="48">
        <v>119</v>
      </c>
      <c r="I18" s="76">
        <v>11.194731890874882</v>
      </c>
      <c r="J18" s="46">
        <v>198</v>
      </c>
      <c r="K18" s="76">
        <v>16.44518272425249</v>
      </c>
      <c r="L18" s="46">
        <v>317</v>
      </c>
      <c r="M18" s="77">
        <v>13.983237759153067</v>
      </c>
    </row>
    <row r="19" spans="1:13" ht="15" customHeight="1">
      <c r="A19" s="36" t="s">
        <v>70</v>
      </c>
      <c r="B19" s="48">
        <v>771</v>
      </c>
      <c r="C19" s="76">
        <v>7.9550144449030125</v>
      </c>
      <c r="D19" s="46">
        <v>900</v>
      </c>
      <c r="E19" s="76">
        <v>9.286009079653322</v>
      </c>
      <c r="F19" s="46">
        <v>1671</v>
      </c>
      <c r="G19" s="77">
        <v>17.241023524556333</v>
      </c>
      <c r="H19" s="48">
        <v>833</v>
      </c>
      <c r="I19" s="76">
        <v>19.408201304753028</v>
      </c>
      <c r="J19" s="46">
        <v>1018</v>
      </c>
      <c r="K19" s="76">
        <v>22.25623087013555</v>
      </c>
      <c r="L19" s="46">
        <v>1851</v>
      </c>
      <c r="M19" s="77">
        <v>20.877509587187006</v>
      </c>
    </row>
    <row r="20" spans="1:13" ht="15" customHeight="1">
      <c r="A20" s="36" t="s">
        <v>71</v>
      </c>
      <c r="B20" s="48">
        <v>522</v>
      </c>
      <c r="C20" s="76">
        <v>7.073170731707316</v>
      </c>
      <c r="D20" s="46">
        <v>626</v>
      </c>
      <c r="E20" s="76">
        <v>8.482384823848237</v>
      </c>
      <c r="F20" s="46">
        <v>1148</v>
      </c>
      <c r="G20" s="77">
        <v>15.555555555555555</v>
      </c>
      <c r="H20" s="48">
        <v>655</v>
      </c>
      <c r="I20" s="76">
        <v>19.54640405849</v>
      </c>
      <c r="J20" s="46">
        <v>810</v>
      </c>
      <c r="K20" s="76">
        <v>21.215295966474592</v>
      </c>
      <c r="L20" s="46">
        <v>1465</v>
      </c>
      <c r="M20" s="77">
        <v>20.43520714186079</v>
      </c>
    </row>
    <row r="21" spans="1:13" ht="15" customHeight="1">
      <c r="A21" s="36" t="s">
        <v>72</v>
      </c>
      <c r="B21" s="48">
        <v>134</v>
      </c>
      <c r="C21" s="76">
        <v>7.9525222551928785</v>
      </c>
      <c r="D21" s="46">
        <v>150</v>
      </c>
      <c r="E21" s="76">
        <v>8.902077151335313</v>
      </c>
      <c r="F21" s="46">
        <v>284</v>
      </c>
      <c r="G21" s="77">
        <v>16.85459940652819</v>
      </c>
      <c r="H21" s="48">
        <v>172</v>
      </c>
      <c r="I21" s="76">
        <v>21.473158551810236</v>
      </c>
      <c r="J21" s="46">
        <v>208</v>
      </c>
      <c r="K21" s="76">
        <v>24.910179640718564</v>
      </c>
      <c r="L21" s="46">
        <v>380</v>
      </c>
      <c r="M21" s="77">
        <v>23.227383863080682</v>
      </c>
    </row>
    <row r="22" spans="1:13" ht="15" customHeight="1">
      <c r="A22" s="36" t="s">
        <v>73</v>
      </c>
      <c r="B22" s="48">
        <v>195</v>
      </c>
      <c r="C22" s="76">
        <v>4.4673539518900345</v>
      </c>
      <c r="D22" s="46">
        <v>215</v>
      </c>
      <c r="E22" s="76">
        <v>4.925544100801833</v>
      </c>
      <c r="F22" s="46">
        <v>410</v>
      </c>
      <c r="G22" s="77">
        <v>9.392898052691868</v>
      </c>
      <c r="H22" s="48">
        <v>215</v>
      </c>
      <c r="I22" s="76">
        <v>11.375661375661375</v>
      </c>
      <c r="J22" s="46">
        <v>288</v>
      </c>
      <c r="K22" s="76">
        <v>13.973799126637553</v>
      </c>
      <c r="L22" s="46">
        <v>503</v>
      </c>
      <c r="M22" s="77">
        <v>12.730954188812959</v>
      </c>
    </row>
    <row r="23" spans="1:13" ht="15" customHeight="1">
      <c r="A23" s="36" t="s">
        <v>74</v>
      </c>
      <c r="B23" s="48">
        <v>252</v>
      </c>
      <c r="C23" s="76">
        <v>5.601244721049122</v>
      </c>
      <c r="D23" s="46">
        <v>291</v>
      </c>
      <c r="E23" s="76">
        <v>6.468104023116249</v>
      </c>
      <c r="F23" s="46">
        <v>543</v>
      </c>
      <c r="G23" s="77">
        <v>12.06934874416537</v>
      </c>
      <c r="H23" s="48">
        <v>314</v>
      </c>
      <c r="I23" s="76">
        <v>16.11082606464854</v>
      </c>
      <c r="J23" s="46">
        <v>412</v>
      </c>
      <c r="K23" s="76">
        <v>19.21641791044776</v>
      </c>
      <c r="L23" s="46">
        <v>726</v>
      </c>
      <c r="M23" s="77">
        <v>17.737600781822625</v>
      </c>
    </row>
    <row r="24" spans="1:13" ht="15" customHeight="1">
      <c r="A24" s="36" t="s">
        <v>75</v>
      </c>
      <c r="B24" s="48">
        <v>137</v>
      </c>
      <c r="C24" s="76">
        <v>5.542071197411003</v>
      </c>
      <c r="D24" s="46">
        <v>153</v>
      </c>
      <c r="E24" s="76">
        <v>6.189320388349515</v>
      </c>
      <c r="F24" s="46">
        <v>290</v>
      </c>
      <c r="G24" s="77">
        <v>11.731391585760518</v>
      </c>
      <c r="H24" s="48">
        <v>142</v>
      </c>
      <c r="I24" s="76">
        <v>14.343434343434344</v>
      </c>
      <c r="J24" s="46">
        <v>195</v>
      </c>
      <c r="K24" s="76">
        <v>19.11764705882353</v>
      </c>
      <c r="L24" s="46">
        <v>337</v>
      </c>
      <c r="M24" s="77">
        <v>16.766169154228855</v>
      </c>
    </row>
    <row r="25" spans="1:13" ht="25.5" customHeight="1">
      <c r="A25" s="36" t="s">
        <v>136</v>
      </c>
      <c r="B25" s="48">
        <v>164</v>
      </c>
      <c r="C25" s="76">
        <v>5.758426966292135</v>
      </c>
      <c r="D25" s="46">
        <v>188</v>
      </c>
      <c r="E25" s="76">
        <v>6.601123595505618</v>
      </c>
      <c r="F25" s="46">
        <v>352</v>
      </c>
      <c r="G25" s="77">
        <v>12.359550561797752</v>
      </c>
      <c r="H25" s="48">
        <v>182</v>
      </c>
      <c r="I25" s="76">
        <v>13.914373088685014</v>
      </c>
      <c r="J25" s="46">
        <v>230</v>
      </c>
      <c r="K25" s="76">
        <v>16.534867002156723</v>
      </c>
      <c r="L25" s="46">
        <v>412</v>
      </c>
      <c r="M25" s="77">
        <v>15.26491293071508</v>
      </c>
    </row>
    <row r="26" spans="1:13" ht="28.5" customHeight="1">
      <c r="A26" s="36" t="s">
        <v>137</v>
      </c>
      <c r="B26" s="48">
        <v>153</v>
      </c>
      <c r="C26" s="76">
        <v>6.293706293706294</v>
      </c>
      <c r="D26" s="46">
        <v>168</v>
      </c>
      <c r="E26" s="76">
        <v>6.910736322501028</v>
      </c>
      <c r="F26" s="46">
        <v>321</v>
      </c>
      <c r="G26" s="77">
        <v>13.20444261620732</v>
      </c>
      <c r="H26" s="48">
        <v>172</v>
      </c>
      <c r="I26" s="76">
        <v>15.343443354148082</v>
      </c>
      <c r="J26" s="46">
        <v>183</v>
      </c>
      <c r="K26" s="76">
        <v>17.118802619270348</v>
      </c>
      <c r="L26" s="46">
        <v>355</v>
      </c>
      <c r="M26" s="77">
        <v>16.210045662100455</v>
      </c>
    </row>
    <row r="27" spans="1:13" ht="15" customHeight="1">
      <c r="A27" s="36" t="s">
        <v>76</v>
      </c>
      <c r="B27" s="48">
        <v>103</v>
      </c>
      <c r="C27" s="76">
        <v>3.897086643965191</v>
      </c>
      <c r="D27" s="46">
        <v>78</v>
      </c>
      <c r="E27" s="76">
        <v>2.9511918274687856</v>
      </c>
      <c r="F27" s="46">
        <v>181</v>
      </c>
      <c r="G27" s="77">
        <v>6.848278471433976</v>
      </c>
      <c r="H27" s="48">
        <v>89</v>
      </c>
      <c r="I27" s="76">
        <v>4.696569920844327</v>
      </c>
      <c r="J27" s="46">
        <v>94</v>
      </c>
      <c r="K27" s="76">
        <v>5.926860025220681</v>
      </c>
      <c r="L27" s="46">
        <v>183</v>
      </c>
      <c r="M27" s="77">
        <v>5.257110025854639</v>
      </c>
    </row>
    <row r="28" spans="1:13" ht="15" customHeight="1">
      <c r="A28" s="36" t="s">
        <v>77</v>
      </c>
      <c r="B28" s="48">
        <v>83</v>
      </c>
      <c r="C28" s="76">
        <v>4.042864101315149</v>
      </c>
      <c r="D28" s="46">
        <v>114</v>
      </c>
      <c r="E28" s="76">
        <v>5.552849488553337</v>
      </c>
      <c r="F28" s="46">
        <v>197</v>
      </c>
      <c r="G28" s="77">
        <v>9.595713589868485</v>
      </c>
      <c r="H28" s="48">
        <v>79</v>
      </c>
      <c r="I28" s="76">
        <v>8.738938053097344</v>
      </c>
      <c r="J28" s="46">
        <v>118</v>
      </c>
      <c r="K28" s="76">
        <v>12.368972746331238</v>
      </c>
      <c r="L28" s="46">
        <v>197</v>
      </c>
      <c r="M28" s="77">
        <v>10.602798708288482</v>
      </c>
    </row>
    <row r="29" spans="1:13" ht="15" customHeight="1">
      <c r="A29" s="36" t="s">
        <v>78</v>
      </c>
      <c r="B29" s="48">
        <v>106</v>
      </c>
      <c r="C29" s="76">
        <v>4.42958629335562</v>
      </c>
      <c r="D29" s="46">
        <v>132</v>
      </c>
      <c r="E29" s="76">
        <v>5.516088591725867</v>
      </c>
      <c r="F29" s="46">
        <v>238</v>
      </c>
      <c r="G29" s="77">
        <v>9.945674885081488</v>
      </c>
      <c r="H29" s="48">
        <v>114</v>
      </c>
      <c r="I29" s="76">
        <v>10.458715596330276</v>
      </c>
      <c r="J29" s="46">
        <v>158</v>
      </c>
      <c r="K29" s="76">
        <v>13.423959218351742</v>
      </c>
      <c r="L29" s="46">
        <v>272</v>
      </c>
      <c r="M29" s="77">
        <v>11.99823555359506</v>
      </c>
    </row>
    <row r="30" spans="1:13" ht="15" customHeight="1">
      <c r="A30" s="36" t="s">
        <v>79</v>
      </c>
      <c r="B30" s="48">
        <v>224</v>
      </c>
      <c r="C30" s="76">
        <v>7.181789034947099</v>
      </c>
      <c r="D30" s="46">
        <v>216</v>
      </c>
      <c r="E30" s="76">
        <v>6.925296569413273</v>
      </c>
      <c r="F30" s="46">
        <v>440</v>
      </c>
      <c r="G30" s="77">
        <v>14.107085604360373</v>
      </c>
      <c r="H30" s="48">
        <v>231</v>
      </c>
      <c r="I30" s="76">
        <v>15.854495538778313</v>
      </c>
      <c r="J30" s="46">
        <v>240</v>
      </c>
      <c r="K30" s="76">
        <v>16.0857908847185</v>
      </c>
      <c r="L30" s="46">
        <v>471</v>
      </c>
      <c r="M30" s="77">
        <v>15.971515768056967</v>
      </c>
    </row>
    <row r="31" spans="1:13" ht="15" customHeight="1">
      <c r="A31" s="36" t="s">
        <v>80</v>
      </c>
      <c r="B31" s="48">
        <v>120</v>
      </c>
      <c r="C31" s="76">
        <v>6.928406466512701</v>
      </c>
      <c r="D31" s="46">
        <v>117</v>
      </c>
      <c r="E31" s="76">
        <v>6.755196304849885</v>
      </c>
      <c r="F31" s="46">
        <v>237</v>
      </c>
      <c r="G31" s="77">
        <v>13.683602771362589</v>
      </c>
      <c r="H31" s="48">
        <v>161</v>
      </c>
      <c r="I31" s="76">
        <v>20.277078085642316</v>
      </c>
      <c r="J31" s="46">
        <v>146</v>
      </c>
      <c r="K31" s="76">
        <v>18.434343434343432</v>
      </c>
      <c r="L31" s="46">
        <v>307</v>
      </c>
      <c r="M31" s="77">
        <v>19.35687263556116</v>
      </c>
    </row>
    <row r="32" spans="1:13" ht="15" customHeight="1">
      <c r="A32" s="36" t="s">
        <v>81</v>
      </c>
      <c r="B32" s="48">
        <v>150</v>
      </c>
      <c r="C32" s="76">
        <v>3.65586156470875</v>
      </c>
      <c r="D32" s="46">
        <v>158</v>
      </c>
      <c r="E32" s="76">
        <v>3.850840848159883</v>
      </c>
      <c r="F32" s="46">
        <v>308</v>
      </c>
      <c r="G32" s="77">
        <v>7.506702412868632</v>
      </c>
      <c r="H32" s="48">
        <v>144</v>
      </c>
      <c r="I32" s="76">
        <v>8.61244019138756</v>
      </c>
      <c r="J32" s="46">
        <v>154</v>
      </c>
      <c r="K32" s="76">
        <v>9.367396593673966</v>
      </c>
      <c r="L32" s="46">
        <v>298</v>
      </c>
      <c r="M32" s="77">
        <v>8.986731001206273</v>
      </c>
    </row>
    <row r="33" spans="1:13" ht="15" customHeight="1">
      <c r="A33" s="36" t="s">
        <v>82</v>
      </c>
      <c r="B33" s="48">
        <v>228</v>
      </c>
      <c r="C33" s="76">
        <v>5.929778933680105</v>
      </c>
      <c r="D33" s="46">
        <v>280</v>
      </c>
      <c r="E33" s="76">
        <v>7.282184655396619</v>
      </c>
      <c r="F33" s="46">
        <v>508</v>
      </c>
      <c r="G33" s="77">
        <v>13.211963589076722</v>
      </c>
      <c r="H33" s="48">
        <v>300</v>
      </c>
      <c r="I33" s="76">
        <v>15.479876160990713</v>
      </c>
      <c r="J33" s="46">
        <v>333</v>
      </c>
      <c r="K33" s="76">
        <v>16.600199401794615</v>
      </c>
      <c r="L33" s="46">
        <v>633</v>
      </c>
      <c r="M33" s="77">
        <v>16.04969574036511</v>
      </c>
    </row>
    <row r="34" spans="1:13" ht="15" customHeight="1">
      <c r="A34" s="36" t="s">
        <v>83</v>
      </c>
      <c r="B34" s="48">
        <v>635</v>
      </c>
      <c r="C34" s="76">
        <v>8.203074538173363</v>
      </c>
      <c r="D34" s="46">
        <v>733</v>
      </c>
      <c r="E34" s="76">
        <v>9.469060844852088</v>
      </c>
      <c r="F34" s="46">
        <v>1368</v>
      </c>
      <c r="G34" s="77">
        <v>17.67213538302545</v>
      </c>
      <c r="H34" s="48">
        <v>610</v>
      </c>
      <c r="I34" s="76">
        <v>18.16557474687314</v>
      </c>
      <c r="J34" s="46">
        <v>764</v>
      </c>
      <c r="K34" s="76">
        <v>21.73541963015647</v>
      </c>
      <c r="L34" s="46">
        <v>1374</v>
      </c>
      <c r="M34" s="77">
        <v>19.991270187690965</v>
      </c>
    </row>
    <row r="35" spans="1:13" ht="15" customHeight="1">
      <c r="A35" s="36" t="s">
        <v>84</v>
      </c>
      <c r="B35" s="48">
        <v>81</v>
      </c>
      <c r="C35" s="76">
        <v>6.081081081081082</v>
      </c>
      <c r="D35" s="46">
        <v>50</v>
      </c>
      <c r="E35" s="76">
        <v>3.7537537537537538</v>
      </c>
      <c r="F35" s="46">
        <v>131</v>
      </c>
      <c r="G35" s="77">
        <v>9.834834834834835</v>
      </c>
      <c r="H35" s="48">
        <v>93</v>
      </c>
      <c r="I35" s="76">
        <v>15.146579804560261</v>
      </c>
      <c r="J35" s="46">
        <v>73</v>
      </c>
      <c r="K35" s="76">
        <v>13.594040968342643</v>
      </c>
      <c r="L35" s="46">
        <v>166</v>
      </c>
      <c r="M35" s="77">
        <v>14.422241529105126</v>
      </c>
    </row>
    <row r="36" spans="1:13" ht="15" customHeight="1">
      <c r="A36" s="36" t="s">
        <v>85</v>
      </c>
      <c r="B36" s="48">
        <v>141</v>
      </c>
      <c r="C36" s="76">
        <v>5.941845764854614</v>
      </c>
      <c r="D36" s="46">
        <v>117</v>
      </c>
      <c r="E36" s="76">
        <v>4.9304677623261695</v>
      </c>
      <c r="F36" s="46">
        <v>258</v>
      </c>
      <c r="G36" s="77">
        <v>10.872313527180784</v>
      </c>
      <c r="H36" s="48">
        <v>133</v>
      </c>
      <c r="I36" s="76">
        <v>12.606635071090047</v>
      </c>
      <c r="J36" s="46">
        <v>135</v>
      </c>
      <c r="K36" s="76">
        <v>13.14508276533593</v>
      </c>
      <c r="L36" s="46">
        <v>268</v>
      </c>
      <c r="M36" s="77">
        <v>12.87223823246878</v>
      </c>
    </row>
    <row r="37" spans="1:13" ht="15" customHeight="1">
      <c r="A37" s="36" t="s">
        <v>86</v>
      </c>
      <c r="B37" s="48">
        <v>105</v>
      </c>
      <c r="C37" s="76">
        <v>7.824143070044709</v>
      </c>
      <c r="D37" s="46">
        <v>133</v>
      </c>
      <c r="E37" s="76">
        <v>9.910581222056631</v>
      </c>
      <c r="F37" s="46">
        <v>238</v>
      </c>
      <c r="G37" s="77">
        <v>17.73472429210134</v>
      </c>
      <c r="H37" s="48">
        <v>127</v>
      </c>
      <c r="I37" s="76">
        <v>21.489001692047378</v>
      </c>
      <c r="J37" s="46">
        <v>150</v>
      </c>
      <c r="K37" s="76">
        <v>24.311183144246353</v>
      </c>
      <c r="L37" s="46">
        <v>277</v>
      </c>
      <c r="M37" s="77">
        <v>22.930463576158942</v>
      </c>
    </row>
    <row r="38" spans="1:13" ht="15" customHeight="1">
      <c r="A38" s="36" t="s">
        <v>87</v>
      </c>
      <c r="B38" s="48">
        <v>117</v>
      </c>
      <c r="C38" s="76">
        <v>3.497757847533632</v>
      </c>
      <c r="D38" s="46">
        <v>119</v>
      </c>
      <c r="E38" s="76">
        <v>3.5575485799701045</v>
      </c>
      <c r="F38" s="46">
        <v>236</v>
      </c>
      <c r="G38" s="77">
        <v>7.055306427503736</v>
      </c>
      <c r="H38" s="48">
        <v>136</v>
      </c>
      <c r="I38" s="76">
        <v>9.03654485049834</v>
      </c>
      <c r="J38" s="46">
        <v>168</v>
      </c>
      <c r="K38" s="76">
        <v>10.35758323057953</v>
      </c>
      <c r="L38" s="46">
        <v>304</v>
      </c>
      <c r="M38" s="77">
        <v>9.721778062040293</v>
      </c>
    </row>
    <row r="39" spans="1:13" ht="15" customHeight="1">
      <c r="A39" s="36" t="s">
        <v>138</v>
      </c>
      <c r="B39" s="48">
        <v>116</v>
      </c>
      <c r="C39" s="76">
        <v>6.433721575152523</v>
      </c>
      <c r="D39" s="46">
        <v>109</v>
      </c>
      <c r="E39" s="76">
        <v>6.045479755962285</v>
      </c>
      <c r="F39" s="46">
        <v>225</v>
      </c>
      <c r="G39" s="77">
        <v>12.479201331114808</v>
      </c>
      <c r="H39" s="48">
        <v>64</v>
      </c>
      <c r="I39" s="76">
        <v>9.937888198757763</v>
      </c>
      <c r="J39" s="46">
        <v>81</v>
      </c>
      <c r="K39" s="76">
        <v>10.843373493975903</v>
      </c>
      <c r="L39" s="46">
        <v>145</v>
      </c>
      <c r="M39" s="77">
        <v>10.424155283968368</v>
      </c>
    </row>
    <row r="40" spans="1:13" ht="15" customHeight="1">
      <c r="A40" s="37" t="s">
        <v>88</v>
      </c>
      <c r="B40" s="78">
        <v>6729</v>
      </c>
      <c r="C40" s="40">
        <v>6.733983147529171</v>
      </c>
      <c r="D40" s="41">
        <v>7610</v>
      </c>
      <c r="E40" s="40">
        <v>7.615635570322038</v>
      </c>
      <c r="F40" s="41">
        <v>14339</v>
      </c>
      <c r="G40" s="79">
        <v>14.34961871785121</v>
      </c>
      <c r="H40" s="78">
        <v>7243</v>
      </c>
      <c r="I40" s="40">
        <v>15.786147072926202</v>
      </c>
      <c r="J40" s="41">
        <v>8831</v>
      </c>
      <c r="K40" s="40">
        <v>18.24473689647336</v>
      </c>
      <c r="L40" s="41">
        <v>16074</v>
      </c>
      <c r="M40" s="79">
        <v>17.048310972052818</v>
      </c>
    </row>
    <row r="41" spans="1:13" ht="15" customHeight="1">
      <c r="A41" s="38" t="s">
        <v>89</v>
      </c>
      <c r="B41" s="48">
        <v>183</v>
      </c>
      <c r="C41" s="76">
        <v>4.31095406360424</v>
      </c>
      <c r="D41" s="46">
        <v>145</v>
      </c>
      <c r="E41" s="76">
        <v>3.415783274440518</v>
      </c>
      <c r="F41" s="46">
        <v>328</v>
      </c>
      <c r="G41" s="77">
        <v>7.726737338044759</v>
      </c>
      <c r="H41" s="48">
        <v>202</v>
      </c>
      <c r="I41" s="76">
        <v>8.934099955771782</v>
      </c>
      <c r="J41" s="46">
        <v>231</v>
      </c>
      <c r="K41" s="76">
        <v>9.918419922713612</v>
      </c>
      <c r="L41" s="46">
        <v>433</v>
      </c>
      <c r="M41" s="77">
        <v>9.43355119825708</v>
      </c>
    </row>
    <row r="42" spans="1:13" ht="15" customHeight="1">
      <c r="A42" s="38" t="s">
        <v>90</v>
      </c>
      <c r="B42" s="48">
        <v>650</v>
      </c>
      <c r="C42" s="76">
        <v>5.7854917668001775</v>
      </c>
      <c r="D42" s="46">
        <v>648</v>
      </c>
      <c r="E42" s="76">
        <v>5.767690253671562</v>
      </c>
      <c r="F42" s="46">
        <v>1298</v>
      </c>
      <c r="G42" s="77">
        <v>11.55318202047174</v>
      </c>
      <c r="H42" s="48">
        <v>837</v>
      </c>
      <c r="I42" s="76">
        <v>15.801397017179536</v>
      </c>
      <c r="J42" s="46">
        <v>886</v>
      </c>
      <c r="K42" s="76">
        <v>16.1354944454562</v>
      </c>
      <c r="L42" s="46">
        <v>1723</v>
      </c>
      <c r="M42" s="77">
        <v>15.97144975899147</v>
      </c>
    </row>
    <row r="43" spans="1:13" ht="15" customHeight="1">
      <c r="A43" s="38" t="s">
        <v>91</v>
      </c>
      <c r="B43" s="48">
        <v>193</v>
      </c>
      <c r="C43" s="76">
        <v>7.4893286767559175</v>
      </c>
      <c r="D43" s="46">
        <v>201</v>
      </c>
      <c r="E43" s="76">
        <v>7.799767171129219</v>
      </c>
      <c r="F43" s="46">
        <v>394</v>
      </c>
      <c r="G43" s="77">
        <v>15.289095847885136</v>
      </c>
      <c r="H43" s="48">
        <v>203</v>
      </c>
      <c r="I43" s="76">
        <v>16.666666666666664</v>
      </c>
      <c r="J43" s="46">
        <v>223</v>
      </c>
      <c r="K43" s="76">
        <v>17.954911433172303</v>
      </c>
      <c r="L43" s="46">
        <v>426</v>
      </c>
      <c r="M43" s="77">
        <v>17.317073170731707</v>
      </c>
    </row>
    <row r="44" spans="1:13" ht="15" customHeight="1">
      <c r="A44" s="38" t="s">
        <v>92</v>
      </c>
      <c r="B44" s="48">
        <v>96</v>
      </c>
      <c r="C44" s="76">
        <v>2.6044492674986435</v>
      </c>
      <c r="D44" s="46">
        <v>86</v>
      </c>
      <c r="E44" s="76">
        <v>2.333152468800868</v>
      </c>
      <c r="F44" s="46">
        <v>182</v>
      </c>
      <c r="G44" s="77">
        <v>4.937601736299511</v>
      </c>
      <c r="H44" s="48">
        <v>211</v>
      </c>
      <c r="I44" s="76">
        <v>6.702668360864041</v>
      </c>
      <c r="J44" s="46">
        <v>260</v>
      </c>
      <c r="K44" s="76">
        <v>8.022215365627892</v>
      </c>
      <c r="L44" s="46">
        <v>471</v>
      </c>
      <c r="M44" s="77">
        <v>7.372045703552982</v>
      </c>
    </row>
    <row r="45" spans="1:13" ht="15" customHeight="1">
      <c r="A45" s="38" t="s">
        <v>93</v>
      </c>
      <c r="B45" s="48">
        <v>50</v>
      </c>
      <c r="C45" s="76">
        <v>1.632386549134835</v>
      </c>
      <c r="D45" s="46">
        <v>57</v>
      </c>
      <c r="E45" s="76">
        <v>1.860920666013712</v>
      </c>
      <c r="F45" s="46">
        <v>107</v>
      </c>
      <c r="G45" s="77">
        <v>3.493307215148547</v>
      </c>
      <c r="H45" s="48">
        <v>120</v>
      </c>
      <c r="I45" s="76">
        <v>5.486968449931413</v>
      </c>
      <c r="J45" s="46">
        <v>113</v>
      </c>
      <c r="K45" s="76">
        <v>4.891774891774892</v>
      </c>
      <c r="L45" s="46">
        <v>233</v>
      </c>
      <c r="M45" s="77">
        <v>5.181231932399378</v>
      </c>
    </row>
    <row r="46" spans="1:13" ht="15" customHeight="1">
      <c r="A46" s="38" t="s">
        <v>94</v>
      </c>
      <c r="B46" s="48">
        <v>71</v>
      </c>
      <c r="C46" s="76">
        <v>9.044585987261145</v>
      </c>
      <c r="D46" s="46">
        <v>79</v>
      </c>
      <c r="E46" s="76">
        <v>10.063694267515924</v>
      </c>
      <c r="F46" s="46">
        <v>150</v>
      </c>
      <c r="G46" s="77">
        <v>19.10828025477707</v>
      </c>
      <c r="H46" s="48">
        <v>89</v>
      </c>
      <c r="I46" s="76">
        <v>20.941176470588236</v>
      </c>
      <c r="J46" s="46">
        <v>97</v>
      </c>
      <c r="K46" s="76">
        <v>22.93144208037825</v>
      </c>
      <c r="L46" s="46">
        <v>186</v>
      </c>
      <c r="M46" s="77">
        <v>21.933962264150946</v>
      </c>
    </row>
    <row r="47" spans="1:13" ht="15" customHeight="1">
      <c r="A47" s="38" t="s">
        <v>95</v>
      </c>
      <c r="B47" s="48">
        <v>55</v>
      </c>
      <c r="C47" s="76">
        <v>8.828250401284109</v>
      </c>
      <c r="D47" s="46">
        <v>40</v>
      </c>
      <c r="E47" s="76">
        <v>6.420545746388442</v>
      </c>
      <c r="F47" s="46">
        <v>95</v>
      </c>
      <c r="G47" s="77">
        <v>15.248796147672552</v>
      </c>
      <c r="H47" s="48">
        <v>69</v>
      </c>
      <c r="I47" s="76">
        <v>20.294117647058822</v>
      </c>
      <c r="J47" s="46">
        <v>67</v>
      </c>
      <c r="K47" s="76">
        <v>20.552147239263803</v>
      </c>
      <c r="L47" s="46">
        <v>136</v>
      </c>
      <c r="M47" s="77">
        <v>20.42042042042042</v>
      </c>
    </row>
    <row r="48" spans="1:13" ht="15" customHeight="1">
      <c r="A48" s="38" t="s">
        <v>96</v>
      </c>
      <c r="B48" s="48">
        <v>115</v>
      </c>
      <c r="C48" s="76">
        <v>8.167613636363637</v>
      </c>
      <c r="D48" s="46">
        <v>108</v>
      </c>
      <c r="E48" s="76">
        <v>7.670454545454546</v>
      </c>
      <c r="F48" s="46">
        <v>223</v>
      </c>
      <c r="G48" s="77">
        <v>15.838068181818182</v>
      </c>
      <c r="H48" s="48">
        <v>128</v>
      </c>
      <c r="I48" s="76">
        <v>16.040100250626566</v>
      </c>
      <c r="J48" s="46">
        <v>135</v>
      </c>
      <c r="K48" s="76">
        <v>16.707920792079207</v>
      </c>
      <c r="L48" s="46">
        <v>263</v>
      </c>
      <c r="M48" s="77">
        <v>16.376089663760894</v>
      </c>
    </row>
    <row r="49" spans="1:13" ht="15" customHeight="1">
      <c r="A49" s="38" t="s">
        <v>97</v>
      </c>
      <c r="B49" s="48">
        <v>146</v>
      </c>
      <c r="C49" s="76">
        <v>5.915721231766613</v>
      </c>
      <c r="D49" s="46">
        <v>112</v>
      </c>
      <c r="E49" s="76">
        <v>4.538087520259319</v>
      </c>
      <c r="F49" s="46">
        <v>258</v>
      </c>
      <c r="G49" s="77">
        <v>10.453808752025932</v>
      </c>
      <c r="H49" s="48">
        <v>165</v>
      </c>
      <c r="I49" s="76">
        <v>13.210568454763811</v>
      </c>
      <c r="J49" s="46">
        <v>170</v>
      </c>
      <c r="K49" s="76">
        <v>13.7987012987013</v>
      </c>
      <c r="L49" s="46">
        <v>335</v>
      </c>
      <c r="M49" s="77">
        <v>13.502619911326077</v>
      </c>
    </row>
    <row r="50" spans="1:13" ht="15" customHeight="1">
      <c r="A50" s="38" t="s">
        <v>98</v>
      </c>
      <c r="B50" s="48">
        <v>120</v>
      </c>
      <c r="C50" s="76">
        <v>6.968641114982578</v>
      </c>
      <c r="D50" s="46">
        <v>111</v>
      </c>
      <c r="E50" s="76">
        <v>6.445993031358885</v>
      </c>
      <c r="F50" s="46">
        <v>231</v>
      </c>
      <c r="G50" s="77">
        <v>13.414634146341465</v>
      </c>
      <c r="H50" s="48">
        <v>130</v>
      </c>
      <c r="I50" s="76">
        <v>16.971279373368144</v>
      </c>
      <c r="J50" s="46">
        <v>120</v>
      </c>
      <c r="K50" s="76">
        <v>15.34526854219949</v>
      </c>
      <c r="L50" s="46">
        <v>250</v>
      </c>
      <c r="M50" s="77">
        <v>16.149870801033593</v>
      </c>
    </row>
    <row r="51" spans="1:13" ht="15" customHeight="1">
      <c r="A51" s="37" t="s">
        <v>99</v>
      </c>
      <c r="B51" s="78">
        <v>1679</v>
      </c>
      <c r="C51" s="40">
        <v>5.277882560040236</v>
      </c>
      <c r="D51" s="41">
        <v>1587</v>
      </c>
      <c r="E51" s="40">
        <v>4.98868351565447</v>
      </c>
      <c r="F51" s="41">
        <v>3266</v>
      </c>
      <c r="G51" s="79">
        <v>10.266566075694707</v>
      </c>
      <c r="H51" s="78">
        <v>2154</v>
      </c>
      <c r="I51" s="40">
        <v>12.1770591893267</v>
      </c>
      <c r="J51" s="41">
        <v>2302</v>
      </c>
      <c r="K51" s="40">
        <v>12.659480862296524</v>
      </c>
      <c r="L51" s="41">
        <v>4456</v>
      </c>
      <c r="M51" s="79">
        <v>12.421598416636467</v>
      </c>
    </row>
    <row r="52" spans="1:13" ht="15" customHeight="1">
      <c r="A52" s="38" t="s">
        <v>100</v>
      </c>
      <c r="B52" s="48">
        <v>202</v>
      </c>
      <c r="C52" s="76">
        <v>6.346214263273642</v>
      </c>
      <c r="D52" s="46">
        <v>215</v>
      </c>
      <c r="E52" s="76">
        <v>6.754633993088281</v>
      </c>
      <c r="F52" s="46">
        <v>417</v>
      </c>
      <c r="G52" s="77">
        <v>13.100848256361921</v>
      </c>
      <c r="H52" s="48">
        <v>250</v>
      </c>
      <c r="I52" s="76">
        <v>15.337423312883436</v>
      </c>
      <c r="J52" s="46">
        <v>263</v>
      </c>
      <c r="K52" s="76">
        <v>16.036585365853657</v>
      </c>
      <c r="L52" s="46">
        <v>513</v>
      </c>
      <c r="M52" s="77">
        <v>15.688073394495413</v>
      </c>
    </row>
    <row r="53" spans="1:13" ht="15" customHeight="1">
      <c r="A53" s="38" t="s">
        <v>101</v>
      </c>
      <c r="B53" s="48">
        <v>51</v>
      </c>
      <c r="C53" s="76">
        <v>5.454545454545454</v>
      </c>
      <c r="D53" s="46">
        <v>48</v>
      </c>
      <c r="E53" s="76">
        <v>5.133689839572193</v>
      </c>
      <c r="F53" s="46">
        <v>99</v>
      </c>
      <c r="G53" s="77">
        <v>10.588235294117647</v>
      </c>
      <c r="H53" s="48">
        <v>63</v>
      </c>
      <c r="I53" s="76">
        <v>13.695652173913043</v>
      </c>
      <c r="J53" s="46">
        <v>70</v>
      </c>
      <c r="K53" s="76">
        <v>14.40329218106996</v>
      </c>
      <c r="L53" s="46">
        <v>133</v>
      </c>
      <c r="M53" s="77">
        <v>14.059196617336154</v>
      </c>
    </row>
    <row r="54" spans="1:13" ht="15" customHeight="1">
      <c r="A54" s="38" t="s">
        <v>102</v>
      </c>
      <c r="B54" s="48">
        <v>57</v>
      </c>
      <c r="C54" s="76">
        <v>6.390134529147982</v>
      </c>
      <c r="D54" s="46">
        <v>71</v>
      </c>
      <c r="E54" s="76">
        <v>7.959641255605381</v>
      </c>
      <c r="F54" s="46">
        <v>128</v>
      </c>
      <c r="G54" s="77">
        <v>14.349775784753364</v>
      </c>
      <c r="H54" s="48">
        <v>67</v>
      </c>
      <c r="I54" s="76">
        <v>13.346613545816732</v>
      </c>
      <c r="J54" s="46">
        <v>95</v>
      </c>
      <c r="K54" s="76">
        <v>19.54732510288066</v>
      </c>
      <c r="L54" s="46">
        <v>162</v>
      </c>
      <c r="M54" s="77">
        <v>16.39676113360324</v>
      </c>
    </row>
    <row r="55" spans="1:13" ht="15" customHeight="1">
      <c r="A55" s="38" t="s">
        <v>103</v>
      </c>
      <c r="B55" s="48">
        <v>376</v>
      </c>
      <c r="C55" s="76">
        <v>7.424960505529225</v>
      </c>
      <c r="D55" s="46">
        <v>452</v>
      </c>
      <c r="E55" s="76">
        <v>8.925750394944707</v>
      </c>
      <c r="F55" s="46">
        <v>828</v>
      </c>
      <c r="G55" s="77">
        <v>16.350710900473935</v>
      </c>
      <c r="H55" s="48">
        <v>439</v>
      </c>
      <c r="I55" s="76">
        <v>16.313638052768486</v>
      </c>
      <c r="J55" s="46">
        <v>496</v>
      </c>
      <c r="K55" s="76">
        <v>18.25542878174457</v>
      </c>
      <c r="L55" s="46">
        <v>935</v>
      </c>
      <c r="M55" s="77">
        <v>17.289201183431953</v>
      </c>
    </row>
    <row r="56" spans="1:13" ht="15" customHeight="1">
      <c r="A56" s="38" t="s">
        <v>104</v>
      </c>
      <c r="B56" s="48">
        <v>151</v>
      </c>
      <c r="C56" s="76">
        <v>6.291666666666666</v>
      </c>
      <c r="D56" s="46">
        <v>162</v>
      </c>
      <c r="E56" s="76">
        <v>6.75</v>
      </c>
      <c r="F56" s="46">
        <v>313</v>
      </c>
      <c r="G56" s="77">
        <v>13.041666666666666</v>
      </c>
      <c r="H56" s="48">
        <v>195</v>
      </c>
      <c r="I56" s="76">
        <v>15.827922077922077</v>
      </c>
      <c r="J56" s="46">
        <v>207</v>
      </c>
      <c r="K56" s="76">
        <v>15.288035450516988</v>
      </c>
      <c r="L56" s="46">
        <v>402</v>
      </c>
      <c r="M56" s="77">
        <v>15.54524361948956</v>
      </c>
    </row>
    <row r="57" spans="1:13" ht="15" customHeight="1">
      <c r="A57" s="38" t="s">
        <v>105</v>
      </c>
      <c r="B57" s="48">
        <v>126</v>
      </c>
      <c r="C57" s="76">
        <v>6.907894736842106</v>
      </c>
      <c r="D57" s="46">
        <v>136</v>
      </c>
      <c r="E57" s="76">
        <v>7.456140350877193</v>
      </c>
      <c r="F57" s="46">
        <v>262</v>
      </c>
      <c r="G57" s="77">
        <v>14.364035087719298</v>
      </c>
      <c r="H57" s="48">
        <v>160</v>
      </c>
      <c r="I57" s="76">
        <v>16.0481444332999</v>
      </c>
      <c r="J57" s="46">
        <v>181</v>
      </c>
      <c r="K57" s="76">
        <v>17.48792270531401</v>
      </c>
      <c r="L57" s="46">
        <v>341</v>
      </c>
      <c r="M57" s="77">
        <v>16.781496062992126</v>
      </c>
    </row>
    <row r="58" spans="1:13" ht="15" customHeight="1">
      <c r="A58" s="38" t="s">
        <v>106</v>
      </c>
      <c r="B58" s="48">
        <v>55</v>
      </c>
      <c r="C58" s="76">
        <v>4.026354319180088</v>
      </c>
      <c r="D58" s="46">
        <v>70</v>
      </c>
      <c r="E58" s="76">
        <v>5.124450951683748</v>
      </c>
      <c r="F58" s="46">
        <v>125</v>
      </c>
      <c r="G58" s="77">
        <v>9.150805270863836</v>
      </c>
      <c r="H58" s="48">
        <v>74</v>
      </c>
      <c r="I58" s="76">
        <v>10.771470160116449</v>
      </c>
      <c r="J58" s="46">
        <v>84</v>
      </c>
      <c r="K58" s="76">
        <v>11.814345991561181</v>
      </c>
      <c r="L58" s="46">
        <v>158</v>
      </c>
      <c r="M58" s="77">
        <v>11.301859799713878</v>
      </c>
    </row>
    <row r="59" spans="1:13" ht="15" customHeight="1">
      <c r="A59" s="38" t="s">
        <v>107</v>
      </c>
      <c r="B59" s="48">
        <v>202</v>
      </c>
      <c r="C59" s="76">
        <v>5.70944036178632</v>
      </c>
      <c r="D59" s="46">
        <v>212</v>
      </c>
      <c r="E59" s="76">
        <v>5.99208592425099</v>
      </c>
      <c r="F59" s="46">
        <v>414</v>
      </c>
      <c r="G59" s="77">
        <v>11.701526286037309</v>
      </c>
      <c r="H59" s="48">
        <v>231</v>
      </c>
      <c r="I59" s="76">
        <v>13.253012048192772</v>
      </c>
      <c r="J59" s="46">
        <v>209</v>
      </c>
      <c r="K59" s="76">
        <v>12.775061124694375</v>
      </c>
      <c r="L59" s="46">
        <v>440</v>
      </c>
      <c r="M59" s="77">
        <v>13.021604024859426</v>
      </c>
    </row>
    <row r="60" spans="1:13" ht="15" customHeight="1">
      <c r="A60" s="38" t="s">
        <v>108</v>
      </c>
      <c r="B60" s="48">
        <v>153</v>
      </c>
      <c r="C60" s="76">
        <v>6.583476764199656</v>
      </c>
      <c r="D60" s="46">
        <v>145</v>
      </c>
      <c r="E60" s="76">
        <v>6.239242685025817</v>
      </c>
      <c r="F60" s="46">
        <v>298</v>
      </c>
      <c r="G60" s="77">
        <v>12.822719449225472</v>
      </c>
      <c r="H60" s="48">
        <v>193</v>
      </c>
      <c r="I60" s="76">
        <v>15.452361889511609</v>
      </c>
      <c r="J60" s="46">
        <v>172</v>
      </c>
      <c r="K60" s="76">
        <v>14.465937762825904</v>
      </c>
      <c r="L60" s="46">
        <v>365</v>
      </c>
      <c r="M60" s="77">
        <v>14.971287940935193</v>
      </c>
    </row>
    <row r="61" spans="1:13" ht="15" customHeight="1">
      <c r="A61" s="38" t="s">
        <v>109</v>
      </c>
      <c r="B61" s="48">
        <v>200</v>
      </c>
      <c r="C61" s="76">
        <v>8.587376556462</v>
      </c>
      <c r="D61" s="46">
        <v>200</v>
      </c>
      <c r="E61" s="76">
        <v>8.587376556462</v>
      </c>
      <c r="F61" s="46">
        <v>400</v>
      </c>
      <c r="G61" s="77">
        <v>17.174753112924</v>
      </c>
      <c r="H61" s="48">
        <v>247</v>
      </c>
      <c r="I61" s="76">
        <v>18.898240244835502</v>
      </c>
      <c r="J61" s="46">
        <v>258</v>
      </c>
      <c r="K61" s="76">
        <v>20.411392405063292</v>
      </c>
      <c r="L61" s="46">
        <v>505</v>
      </c>
      <c r="M61" s="77">
        <v>19.642162582652663</v>
      </c>
    </row>
    <row r="62" spans="1:13" ht="15" customHeight="1">
      <c r="A62" s="38" t="s">
        <v>110</v>
      </c>
      <c r="B62" s="48">
        <v>144</v>
      </c>
      <c r="C62" s="76">
        <v>5.2766581165262</v>
      </c>
      <c r="D62" s="46">
        <v>128</v>
      </c>
      <c r="E62" s="76">
        <v>4.690362770245511</v>
      </c>
      <c r="F62" s="46">
        <v>272</v>
      </c>
      <c r="G62" s="77">
        <v>9.967020886771712</v>
      </c>
      <c r="H62" s="48">
        <v>149</v>
      </c>
      <c r="I62" s="76">
        <v>12.5</v>
      </c>
      <c r="J62" s="46">
        <v>162</v>
      </c>
      <c r="K62" s="76">
        <v>16.183816183816184</v>
      </c>
      <c r="L62" s="46">
        <v>311</v>
      </c>
      <c r="M62" s="77">
        <v>14.181486548107616</v>
      </c>
    </row>
    <row r="63" spans="1:13" ht="15" customHeight="1">
      <c r="A63" s="38" t="s">
        <v>111</v>
      </c>
      <c r="B63" s="48">
        <v>45</v>
      </c>
      <c r="C63" s="76">
        <v>7.880910683012258</v>
      </c>
      <c r="D63" s="46">
        <v>36</v>
      </c>
      <c r="E63" s="76">
        <v>6.304728546409807</v>
      </c>
      <c r="F63" s="46">
        <v>81</v>
      </c>
      <c r="G63" s="77">
        <v>14.185639229422067</v>
      </c>
      <c r="H63" s="48">
        <v>43</v>
      </c>
      <c r="I63" s="76">
        <v>19.81566820276498</v>
      </c>
      <c r="J63" s="46">
        <v>37</v>
      </c>
      <c r="K63" s="76">
        <v>19.072164948453608</v>
      </c>
      <c r="L63" s="46">
        <v>80</v>
      </c>
      <c r="M63" s="77">
        <v>19.464720194647203</v>
      </c>
    </row>
    <row r="64" spans="1:13" ht="15" customHeight="1">
      <c r="A64" s="37" t="s">
        <v>112</v>
      </c>
      <c r="B64" s="78">
        <v>1762</v>
      </c>
      <c r="C64" s="40">
        <v>6.488676118578531</v>
      </c>
      <c r="D64" s="41">
        <v>1875</v>
      </c>
      <c r="E64" s="40">
        <v>6.90480574479838</v>
      </c>
      <c r="F64" s="41">
        <v>3637</v>
      </c>
      <c r="G64" s="79">
        <v>13.39348186337691</v>
      </c>
      <c r="H64" s="78">
        <v>2111</v>
      </c>
      <c r="I64" s="40">
        <v>15.179406054504927</v>
      </c>
      <c r="J64" s="41">
        <v>2234</v>
      </c>
      <c r="K64" s="40">
        <v>16.29111062495442</v>
      </c>
      <c r="L64" s="41">
        <v>4345</v>
      </c>
      <c r="M64" s="79">
        <v>15.731354091238234</v>
      </c>
    </row>
    <row r="65" spans="1:13" ht="15" customHeight="1">
      <c r="A65" s="38" t="s">
        <v>113</v>
      </c>
      <c r="B65" s="48">
        <v>160</v>
      </c>
      <c r="C65" s="76">
        <v>5.19311911716975</v>
      </c>
      <c r="D65" s="46">
        <v>180</v>
      </c>
      <c r="E65" s="76">
        <v>5.8422590068159685</v>
      </c>
      <c r="F65" s="46">
        <v>340</v>
      </c>
      <c r="G65" s="77">
        <v>11.03537812398572</v>
      </c>
      <c r="H65" s="48">
        <v>207</v>
      </c>
      <c r="I65" s="76">
        <v>14.567206192821958</v>
      </c>
      <c r="J65" s="46">
        <v>240</v>
      </c>
      <c r="K65" s="76">
        <v>16.818500350385424</v>
      </c>
      <c r="L65" s="46">
        <v>447</v>
      </c>
      <c r="M65" s="77">
        <v>15.695224719101123</v>
      </c>
    </row>
    <row r="66" spans="1:13" ht="15" customHeight="1">
      <c r="A66" s="38" t="s">
        <v>114</v>
      </c>
      <c r="B66" s="48">
        <v>53</v>
      </c>
      <c r="C66" s="76">
        <v>2.370304114490161</v>
      </c>
      <c r="D66" s="46">
        <v>35</v>
      </c>
      <c r="E66" s="76">
        <v>1.5652951699463327</v>
      </c>
      <c r="F66" s="46">
        <v>88</v>
      </c>
      <c r="G66" s="77">
        <v>3.9355992844364938</v>
      </c>
      <c r="H66" s="48">
        <v>92</v>
      </c>
      <c r="I66" s="76">
        <v>4.943578721117679</v>
      </c>
      <c r="J66" s="46">
        <v>82</v>
      </c>
      <c r="K66" s="76">
        <v>4.601571268237935</v>
      </c>
      <c r="L66" s="46">
        <v>174</v>
      </c>
      <c r="M66" s="77">
        <v>4.776283283008509</v>
      </c>
    </row>
    <row r="67" spans="1:13" ht="15" customHeight="1">
      <c r="A67" s="38" t="s">
        <v>115</v>
      </c>
      <c r="B67" s="48">
        <v>162</v>
      </c>
      <c r="C67" s="76">
        <v>6.433677521842732</v>
      </c>
      <c r="D67" s="46">
        <v>133</v>
      </c>
      <c r="E67" s="76">
        <v>5.281969817315329</v>
      </c>
      <c r="F67" s="46">
        <v>295</v>
      </c>
      <c r="G67" s="77">
        <v>11.715647339158062</v>
      </c>
      <c r="H67" s="48">
        <v>174</v>
      </c>
      <c r="I67" s="76">
        <v>12.100139082058414</v>
      </c>
      <c r="J67" s="46">
        <v>179</v>
      </c>
      <c r="K67" s="76">
        <v>12.344827586206897</v>
      </c>
      <c r="L67" s="46">
        <v>353</v>
      </c>
      <c r="M67" s="77">
        <v>12.222991689750693</v>
      </c>
    </row>
    <row r="68" spans="1:13" ht="15" customHeight="1">
      <c r="A68" s="38" t="s">
        <v>116</v>
      </c>
      <c r="B68" s="48">
        <v>137</v>
      </c>
      <c r="C68" s="76">
        <v>2.6957890594254232</v>
      </c>
      <c r="D68" s="46">
        <v>147</v>
      </c>
      <c r="E68" s="76">
        <v>2.8925619834710745</v>
      </c>
      <c r="F68" s="46">
        <v>284</v>
      </c>
      <c r="G68" s="77">
        <v>5.588351042896497</v>
      </c>
      <c r="H68" s="48">
        <v>197</v>
      </c>
      <c r="I68" s="76">
        <v>5.532153889356922</v>
      </c>
      <c r="J68" s="46">
        <v>219</v>
      </c>
      <c r="K68" s="76">
        <v>6.276870163370593</v>
      </c>
      <c r="L68" s="46">
        <v>416</v>
      </c>
      <c r="M68" s="77">
        <v>5.900709219858156</v>
      </c>
    </row>
    <row r="69" spans="1:13" ht="15" customHeight="1">
      <c r="A69" s="38" t="s">
        <v>117</v>
      </c>
      <c r="B69" s="48">
        <v>172</v>
      </c>
      <c r="C69" s="76">
        <v>5.330027889680818</v>
      </c>
      <c r="D69" s="46">
        <v>161</v>
      </c>
      <c r="E69" s="76">
        <v>4.989154013015185</v>
      </c>
      <c r="F69" s="46">
        <v>333</v>
      </c>
      <c r="G69" s="77">
        <v>10.319181902696002</v>
      </c>
      <c r="H69" s="48">
        <v>188</v>
      </c>
      <c r="I69" s="76">
        <v>9.645972293483839</v>
      </c>
      <c r="J69" s="46">
        <v>220</v>
      </c>
      <c r="K69" s="76">
        <v>11.293634496919918</v>
      </c>
      <c r="L69" s="46">
        <v>408</v>
      </c>
      <c r="M69" s="77">
        <v>10.469591993841416</v>
      </c>
    </row>
    <row r="70" spans="1:13" ht="15" customHeight="1">
      <c r="A70" s="38" t="s">
        <v>118</v>
      </c>
      <c r="B70" s="48">
        <v>15</v>
      </c>
      <c r="C70" s="76">
        <v>2.9182879377431905</v>
      </c>
      <c r="D70" s="46">
        <v>22</v>
      </c>
      <c r="E70" s="76">
        <v>4.280155642023346</v>
      </c>
      <c r="F70" s="46">
        <v>37</v>
      </c>
      <c r="G70" s="77">
        <v>7.198443579766536</v>
      </c>
      <c r="H70" s="48">
        <v>26</v>
      </c>
      <c r="I70" s="76">
        <v>10.15625</v>
      </c>
      <c r="J70" s="46">
        <v>31</v>
      </c>
      <c r="K70" s="76">
        <v>12.653061224489795</v>
      </c>
      <c r="L70" s="46">
        <v>57</v>
      </c>
      <c r="M70" s="77">
        <v>11.377245508982035</v>
      </c>
    </row>
    <row r="71" spans="1:13" ht="15" customHeight="1">
      <c r="A71" s="38" t="s">
        <v>119</v>
      </c>
      <c r="B71" s="48">
        <v>126</v>
      </c>
      <c r="C71" s="76">
        <v>6.422018348623854</v>
      </c>
      <c r="D71" s="46">
        <v>130</v>
      </c>
      <c r="E71" s="76">
        <v>6.625891946992865</v>
      </c>
      <c r="F71" s="46">
        <v>256</v>
      </c>
      <c r="G71" s="77">
        <v>13.047910295616719</v>
      </c>
      <c r="H71" s="48">
        <v>148</v>
      </c>
      <c r="I71" s="76">
        <v>16.818181818181817</v>
      </c>
      <c r="J71" s="46">
        <v>150</v>
      </c>
      <c r="K71" s="76">
        <v>17.045454545454543</v>
      </c>
      <c r="L71" s="46">
        <v>298</v>
      </c>
      <c r="M71" s="77">
        <v>16.93181818181818</v>
      </c>
    </row>
    <row r="72" spans="1:13" ht="15" customHeight="1">
      <c r="A72" s="38" t="s">
        <v>120</v>
      </c>
      <c r="B72" s="48">
        <v>140</v>
      </c>
      <c r="C72" s="76">
        <v>7.014028056112225</v>
      </c>
      <c r="D72" s="46">
        <v>128</v>
      </c>
      <c r="E72" s="76">
        <v>6.4128256513026045</v>
      </c>
      <c r="F72" s="46">
        <v>268</v>
      </c>
      <c r="G72" s="77">
        <v>13.426853707414828</v>
      </c>
      <c r="H72" s="48">
        <v>172</v>
      </c>
      <c r="I72" s="76">
        <v>16.99604743083004</v>
      </c>
      <c r="J72" s="46">
        <v>153</v>
      </c>
      <c r="K72" s="76">
        <v>15.871369294605808</v>
      </c>
      <c r="L72" s="46">
        <v>325</v>
      </c>
      <c r="M72" s="77">
        <v>16.447368421052634</v>
      </c>
    </row>
    <row r="73" spans="1:13" ht="15" customHeight="1">
      <c r="A73" s="37" t="s">
        <v>121</v>
      </c>
      <c r="B73" s="78">
        <v>965</v>
      </c>
      <c r="C73" s="40">
        <v>4.6808304229724484</v>
      </c>
      <c r="D73" s="41">
        <v>936</v>
      </c>
      <c r="E73" s="40">
        <v>4.540162980209546</v>
      </c>
      <c r="F73" s="41">
        <v>1901</v>
      </c>
      <c r="G73" s="79">
        <v>9.220993403181994</v>
      </c>
      <c r="H73" s="78">
        <v>1204</v>
      </c>
      <c r="I73" s="40">
        <v>9.726934884472453</v>
      </c>
      <c r="J73" s="41">
        <v>1274</v>
      </c>
      <c r="K73" s="40">
        <v>10.455478046778827</v>
      </c>
      <c r="L73" s="41">
        <v>2478</v>
      </c>
      <c r="M73" s="79">
        <v>10.088344257623255</v>
      </c>
    </row>
    <row r="74" spans="1:13" ht="15" customHeight="1">
      <c r="A74" s="39" t="s">
        <v>122</v>
      </c>
      <c r="B74" s="80">
        <v>11135</v>
      </c>
      <c r="C74" s="42">
        <v>6.203031602872279</v>
      </c>
      <c r="D74" s="43">
        <v>12008</v>
      </c>
      <c r="E74" s="42">
        <v>6.689358193739589</v>
      </c>
      <c r="F74" s="43">
        <v>23143</v>
      </c>
      <c r="G74" s="81">
        <v>12.89238979661187</v>
      </c>
      <c r="H74" s="80">
        <v>12712</v>
      </c>
      <c r="I74" s="42">
        <v>14.14707977207977</v>
      </c>
      <c r="J74" s="43">
        <v>14641</v>
      </c>
      <c r="K74" s="42">
        <v>15.830675244634266</v>
      </c>
      <c r="L74" s="43">
        <v>27353</v>
      </c>
      <c r="M74" s="81">
        <v>15.001014582567826</v>
      </c>
    </row>
    <row r="76" ht="12.75">
      <c r="A76" s="7" t="s">
        <v>126</v>
      </c>
    </row>
  </sheetData>
  <sheetProtection/>
  <mergeCells count="9">
    <mergeCell ref="A6:A8"/>
    <mergeCell ref="H6:M6"/>
    <mergeCell ref="H7:I7"/>
    <mergeCell ref="J7:K7"/>
    <mergeCell ref="L7:M7"/>
    <mergeCell ref="B7:C7"/>
    <mergeCell ref="D7:E7"/>
    <mergeCell ref="F7:G7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3" sqref="A3"/>
    </sheetView>
  </sheetViews>
  <sheetFormatPr defaultColWidth="11.421875" defaultRowHeight="12.75"/>
  <sheetData>
    <row r="2" spans="1:14" ht="19.5">
      <c r="A2" s="4" t="s">
        <v>164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  <c r="M2" s="34"/>
      <c r="N2" s="35"/>
    </row>
    <row r="3" ht="15">
      <c r="A3" s="1"/>
    </row>
    <row r="4" ht="12.75">
      <c r="A4" s="7" t="s">
        <v>161</v>
      </c>
    </row>
    <row r="6" spans="1:16" ht="17.25">
      <c r="A6" s="101">
        <v>2019</v>
      </c>
      <c r="B6" s="99" t="s">
        <v>124</v>
      </c>
      <c r="C6" s="99"/>
      <c r="D6" s="100"/>
      <c r="E6" s="98" t="s">
        <v>37</v>
      </c>
      <c r="F6" s="99"/>
      <c r="G6" s="100"/>
      <c r="H6" s="98" t="s">
        <v>38</v>
      </c>
      <c r="I6" s="99"/>
      <c r="J6" s="100"/>
      <c r="K6" s="98" t="s">
        <v>125</v>
      </c>
      <c r="L6" s="99"/>
      <c r="M6" s="100"/>
      <c r="N6" s="98" t="s">
        <v>127</v>
      </c>
      <c r="O6" s="99"/>
      <c r="P6" s="100"/>
    </row>
    <row r="7" spans="1:16" ht="15.75">
      <c r="A7" s="101"/>
      <c r="B7" s="29" t="s">
        <v>59</v>
      </c>
      <c r="C7" s="29" t="s">
        <v>60</v>
      </c>
      <c r="D7" s="44" t="s">
        <v>12</v>
      </c>
      <c r="E7" s="45" t="s">
        <v>59</v>
      </c>
      <c r="F7" s="29" t="s">
        <v>60</v>
      </c>
      <c r="G7" s="44" t="s">
        <v>12</v>
      </c>
      <c r="H7" s="45" t="s">
        <v>59</v>
      </c>
      <c r="I7" s="29" t="s">
        <v>60</v>
      </c>
      <c r="J7" s="44" t="s">
        <v>12</v>
      </c>
      <c r="K7" s="45" t="s">
        <v>59</v>
      </c>
      <c r="L7" s="29" t="s">
        <v>60</v>
      </c>
      <c r="M7" s="44" t="s">
        <v>12</v>
      </c>
      <c r="N7" s="45" t="s">
        <v>59</v>
      </c>
      <c r="O7" s="29" t="s">
        <v>60</v>
      </c>
      <c r="P7" s="44" t="s">
        <v>12</v>
      </c>
    </row>
    <row r="8" spans="1:16" ht="15">
      <c r="A8" s="36" t="s">
        <v>1</v>
      </c>
      <c r="B8" s="46">
        <v>662</v>
      </c>
      <c r="C8" s="46">
        <v>751</v>
      </c>
      <c r="D8" s="47">
        <f>B8+C8</f>
        <v>1413</v>
      </c>
      <c r="E8" s="48">
        <v>623</v>
      </c>
      <c r="F8" s="46">
        <v>620</v>
      </c>
      <c r="G8" s="47">
        <f>E8+F8</f>
        <v>1243</v>
      </c>
      <c r="H8" s="48">
        <v>2153</v>
      </c>
      <c r="I8" s="46">
        <v>2442</v>
      </c>
      <c r="J8" s="47">
        <f>H8+I8</f>
        <v>4595</v>
      </c>
      <c r="K8" s="46">
        <v>378</v>
      </c>
      <c r="L8" s="46">
        <v>425</v>
      </c>
      <c r="M8" s="47">
        <f>K8+L8</f>
        <v>803</v>
      </c>
      <c r="N8" s="46">
        <f>B8+E8+H8+K8</f>
        <v>3816</v>
      </c>
      <c r="O8" s="46">
        <f>C8+F8+I8+L8</f>
        <v>4238</v>
      </c>
      <c r="P8" s="92">
        <f>N8+O8</f>
        <v>8054</v>
      </c>
    </row>
    <row r="9" spans="1:16" ht="15">
      <c r="A9" s="36" t="s">
        <v>2</v>
      </c>
      <c r="B9" s="46">
        <v>543</v>
      </c>
      <c r="C9" s="46">
        <v>566</v>
      </c>
      <c r="D9" s="47">
        <f aca="true" t="shared" si="0" ref="D9:D16">B9+C9</f>
        <v>1109</v>
      </c>
      <c r="E9" s="48">
        <v>466</v>
      </c>
      <c r="F9" s="46">
        <v>495</v>
      </c>
      <c r="G9" s="47">
        <f aca="true" t="shared" si="1" ref="G9:G16">E9+F9</f>
        <v>961</v>
      </c>
      <c r="H9" s="48">
        <v>1553</v>
      </c>
      <c r="I9" s="46">
        <v>1881</v>
      </c>
      <c r="J9" s="47">
        <f aca="true" t="shared" si="2" ref="J9:J16">H9+I9</f>
        <v>3434</v>
      </c>
      <c r="K9" s="46">
        <v>296</v>
      </c>
      <c r="L9" s="46">
        <v>266</v>
      </c>
      <c r="M9" s="47">
        <f aca="true" t="shared" si="3" ref="M9:M16">K9+L9</f>
        <v>562</v>
      </c>
      <c r="N9" s="46">
        <f aca="true" t="shared" si="4" ref="N9:N16">B9+E9+H9+K9</f>
        <v>2858</v>
      </c>
      <c r="O9" s="46">
        <f aca="true" t="shared" si="5" ref="O9:O16">C9+F9+I9+L9</f>
        <v>3208</v>
      </c>
      <c r="P9" s="92">
        <f aca="true" t="shared" si="6" ref="P9:P16">N9+O9</f>
        <v>6066</v>
      </c>
    </row>
    <row r="10" spans="1:16" ht="15">
      <c r="A10" s="36" t="s">
        <v>3</v>
      </c>
      <c r="B10" s="46">
        <v>472</v>
      </c>
      <c r="C10" s="46">
        <v>436</v>
      </c>
      <c r="D10" s="47">
        <f t="shared" si="0"/>
        <v>908</v>
      </c>
      <c r="E10" s="48">
        <v>468</v>
      </c>
      <c r="F10" s="46">
        <v>400</v>
      </c>
      <c r="G10" s="47">
        <f t="shared" si="1"/>
        <v>868</v>
      </c>
      <c r="H10" s="48">
        <v>1514</v>
      </c>
      <c r="I10" s="46">
        <v>1558</v>
      </c>
      <c r="J10" s="47">
        <f t="shared" si="2"/>
        <v>3072</v>
      </c>
      <c r="K10" s="46">
        <v>241</v>
      </c>
      <c r="L10" s="46">
        <v>243</v>
      </c>
      <c r="M10" s="47">
        <f t="shared" si="3"/>
        <v>484</v>
      </c>
      <c r="N10" s="46">
        <f t="shared" si="4"/>
        <v>2695</v>
      </c>
      <c r="O10" s="46">
        <f t="shared" si="5"/>
        <v>2637</v>
      </c>
      <c r="P10" s="92">
        <f t="shared" si="6"/>
        <v>5332</v>
      </c>
    </row>
    <row r="11" spans="1:16" ht="15">
      <c r="A11" s="36" t="s">
        <v>4</v>
      </c>
      <c r="B11" s="46">
        <v>251</v>
      </c>
      <c r="C11" s="46">
        <v>229</v>
      </c>
      <c r="D11" s="47">
        <f t="shared" si="0"/>
        <v>480</v>
      </c>
      <c r="E11" s="48">
        <v>284</v>
      </c>
      <c r="F11" s="46">
        <v>332</v>
      </c>
      <c r="G11" s="47">
        <f t="shared" si="1"/>
        <v>616</v>
      </c>
      <c r="H11" s="48">
        <v>996</v>
      </c>
      <c r="I11" s="46">
        <v>1289</v>
      </c>
      <c r="J11" s="47">
        <f t="shared" si="2"/>
        <v>2285</v>
      </c>
      <c r="K11" s="46">
        <v>150</v>
      </c>
      <c r="L11" s="46">
        <v>156</v>
      </c>
      <c r="M11" s="47">
        <f t="shared" si="3"/>
        <v>306</v>
      </c>
      <c r="N11" s="46">
        <f t="shared" si="4"/>
        <v>1681</v>
      </c>
      <c r="O11" s="46">
        <f t="shared" si="5"/>
        <v>2006</v>
      </c>
      <c r="P11" s="92">
        <f t="shared" si="6"/>
        <v>3687</v>
      </c>
    </row>
    <row r="12" spans="1:16" ht="15">
      <c r="A12" s="36" t="s">
        <v>5</v>
      </c>
      <c r="B12" s="46">
        <v>149</v>
      </c>
      <c r="C12" s="46">
        <v>161</v>
      </c>
      <c r="D12" s="47">
        <f t="shared" si="0"/>
        <v>310</v>
      </c>
      <c r="E12" s="48">
        <v>171</v>
      </c>
      <c r="F12" s="46">
        <v>183</v>
      </c>
      <c r="G12" s="47">
        <f t="shared" si="1"/>
        <v>354</v>
      </c>
      <c r="H12" s="48">
        <v>645</v>
      </c>
      <c r="I12" s="46">
        <v>883</v>
      </c>
      <c r="J12" s="47">
        <f t="shared" si="2"/>
        <v>1528</v>
      </c>
      <c r="K12" s="46">
        <v>91</v>
      </c>
      <c r="L12" s="46">
        <v>104</v>
      </c>
      <c r="M12" s="47">
        <f t="shared" si="3"/>
        <v>195</v>
      </c>
      <c r="N12" s="46">
        <f t="shared" si="4"/>
        <v>1056</v>
      </c>
      <c r="O12" s="46">
        <f t="shared" si="5"/>
        <v>1331</v>
      </c>
      <c r="P12" s="92">
        <f t="shared" si="6"/>
        <v>2387</v>
      </c>
    </row>
    <row r="13" spans="1:16" ht="15">
      <c r="A13" s="36" t="s">
        <v>6</v>
      </c>
      <c r="B13" s="46">
        <v>56</v>
      </c>
      <c r="C13" s="46">
        <v>108</v>
      </c>
      <c r="D13" s="47">
        <f t="shared" si="0"/>
        <v>164</v>
      </c>
      <c r="E13" s="48">
        <v>80</v>
      </c>
      <c r="F13" s="46">
        <v>122</v>
      </c>
      <c r="G13" s="47">
        <f t="shared" si="1"/>
        <v>202</v>
      </c>
      <c r="H13" s="48">
        <v>251</v>
      </c>
      <c r="I13" s="46">
        <v>502</v>
      </c>
      <c r="J13" s="47">
        <f t="shared" si="2"/>
        <v>753</v>
      </c>
      <c r="K13" s="46">
        <v>41</v>
      </c>
      <c r="L13" s="46">
        <v>51</v>
      </c>
      <c r="M13" s="47">
        <f t="shared" si="3"/>
        <v>92</v>
      </c>
      <c r="N13" s="46">
        <f t="shared" si="4"/>
        <v>428</v>
      </c>
      <c r="O13" s="46">
        <f t="shared" si="5"/>
        <v>783</v>
      </c>
      <c r="P13" s="92">
        <f t="shared" si="6"/>
        <v>1211</v>
      </c>
    </row>
    <row r="14" spans="1:16" ht="15">
      <c r="A14" s="36" t="s">
        <v>7</v>
      </c>
      <c r="B14" s="46">
        <v>20</v>
      </c>
      <c r="C14" s="46">
        <v>40</v>
      </c>
      <c r="D14" s="47">
        <f t="shared" si="0"/>
        <v>60</v>
      </c>
      <c r="E14" s="48">
        <v>18</v>
      </c>
      <c r="F14" s="46">
        <v>68</v>
      </c>
      <c r="G14" s="47">
        <f t="shared" si="1"/>
        <v>86</v>
      </c>
      <c r="H14" s="48">
        <v>107</v>
      </c>
      <c r="I14" s="46">
        <v>206</v>
      </c>
      <c r="J14" s="47">
        <f t="shared" si="2"/>
        <v>313</v>
      </c>
      <c r="K14" s="46">
        <v>5</v>
      </c>
      <c r="L14" s="46">
        <v>27</v>
      </c>
      <c r="M14" s="47">
        <f t="shared" si="3"/>
        <v>32</v>
      </c>
      <c r="N14" s="46">
        <f t="shared" si="4"/>
        <v>150</v>
      </c>
      <c r="O14" s="46">
        <f t="shared" si="5"/>
        <v>341</v>
      </c>
      <c r="P14" s="92">
        <f t="shared" si="6"/>
        <v>491</v>
      </c>
    </row>
    <row r="15" spans="1:16" ht="15">
      <c r="A15" s="36" t="s">
        <v>123</v>
      </c>
      <c r="B15" s="46">
        <v>1</v>
      </c>
      <c r="C15" s="46">
        <v>11</v>
      </c>
      <c r="D15" s="47">
        <f t="shared" si="0"/>
        <v>12</v>
      </c>
      <c r="E15" s="48">
        <v>1</v>
      </c>
      <c r="F15" s="46">
        <v>14</v>
      </c>
      <c r="G15" s="47">
        <f t="shared" si="1"/>
        <v>15</v>
      </c>
      <c r="H15" s="48">
        <v>24</v>
      </c>
      <c r="I15" s="46">
        <v>70</v>
      </c>
      <c r="J15" s="47">
        <f t="shared" si="2"/>
        <v>94</v>
      </c>
      <c r="K15" s="46">
        <v>2</v>
      </c>
      <c r="L15" s="46">
        <v>2</v>
      </c>
      <c r="M15" s="47">
        <f t="shared" si="3"/>
        <v>4</v>
      </c>
      <c r="N15" s="46">
        <f t="shared" si="4"/>
        <v>28</v>
      </c>
      <c r="O15" s="46">
        <f t="shared" si="5"/>
        <v>97</v>
      </c>
      <c r="P15" s="92">
        <f t="shared" si="6"/>
        <v>125</v>
      </c>
    </row>
    <row r="16" spans="1:16" s="22" customFormat="1" ht="15">
      <c r="A16" s="88" t="s">
        <v>12</v>
      </c>
      <c r="B16" s="89">
        <v>2154</v>
      </c>
      <c r="C16" s="89">
        <v>2302</v>
      </c>
      <c r="D16" s="90">
        <f t="shared" si="0"/>
        <v>4456</v>
      </c>
      <c r="E16" s="89">
        <v>2111</v>
      </c>
      <c r="F16" s="89">
        <v>2234</v>
      </c>
      <c r="G16" s="90">
        <f t="shared" si="1"/>
        <v>4345</v>
      </c>
      <c r="H16" s="89">
        <v>7243</v>
      </c>
      <c r="I16" s="89">
        <v>8831</v>
      </c>
      <c r="J16" s="90">
        <f t="shared" si="2"/>
        <v>16074</v>
      </c>
      <c r="K16" s="89">
        <v>1204</v>
      </c>
      <c r="L16" s="89">
        <v>1274</v>
      </c>
      <c r="M16" s="90">
        <f t="shared" si="3"/>
        <v>2478</v>
      </c>
      <c r="N16" s="91">
        <f t="shared" si="4"/>
        <v>12712</v>
      </c>
      <c r="O16" s="89">
        <f t="shared" si="5"/>
        <v>14641</v>
      </c>
      <c r="P16" s="90">
        <f t="shared" si="6"/>
        <v>27353</v>
      </c>
    </row>
    <row r="20" ht="12.75">
      <c r="A20" s="7" t="s">
        <v>126</v>
      </c>
    </row>
    <row r="22" spans="1:16" ht="17.25">
      <c r="A22" s="101">
        <v>2014</v>
      </c>
      <c r="B22" s="99" t="s">
        <v>124</v>
      </c>
      <c r="C22" s="99"/>
      <c r="D22" s="100"/>
      <c r="E22" s="98" t="s">
        <v>37</v>
      </c>
      <c r="F22" s="99"/>
      <c r="G22" s="100"/>
      <c r="H22" s="98" t="s">
        <v>38</v>
      </c>
      <c r="I22" s="99"/>
      <c r="J22" s="100"/>
      <c r="K22" s="99" t="s">
        <v>125</v>
      </c>
      <c r="L22" s="99"/>
      <c r="M22" s="100"/>
      <c r="N22" s="99" t="s">
        <v>127</v>
      </c>
      <c r="O22" s="99"/>
      <c r="P22" s="100"/>
    </row>
    <row r="23" spans="1:16" ht="15.75">
      <c r="A23" s="101"/>
      <c r="B23" s="29" t="s">
        <v>59</v>
      </c>
      <c r="C23" s="29" t="s">
        <v>60</v>
      </c>
      <c r="D23" s="44" t="s">
        <v>12</v>
      </c>
      <c r="E23" s="45" t="s">
        <v>59</v>
      </c>
      <c r="F23" s="29" t="s">
        <v>60</v>
      </c>
      <c r="G23" s="44" t="s">
        <v>12</v>
      </c>
      <c r="H23" s="45" t="s">
        <v>59</v>
      </c>
      <c r="I23" s="29" t="s">
        <v>60</v>
      </c>
      <c r="J23" s="44" t="s">
        <v>12</v>
      </c>
      <c r="K23" s="29" t="s">
        <v>59</v>
      </c>
      <c r="L23" s="29" t="s">
        <v>60</v>
      </c>
      <c r="M23" s="44" t="s">
        <v>12</v>
      </c>
      <c r="N23" s="29" t="s">
        <v>59</v>
      </c>
      <c r="O23" s="29" t="s">
        <v>60</v>
      </c>
      <c r="P23" s="44" t="s">
        <v>12</v>
      </c>
    </row>
    <row r="24" spans="1:16" ht="15">
      <c r="A24" s="36" t="s">
        <v>1</v>
      </c>
      <c r="B24" s="46">
        <v>591</v>
      </c>
      <c r="C24" s="46">
        <v>518</v>
      </c>
      <c r="D24" s="47">
        <v>1109</v>
      </c>
      <c r="E24" s="48">
        <v>519</v>
      </c>
      <c r="F24" s="46">
        <v>546</v>
      </c>
      <c r="G24" s="47">
        <v>1065</v>
      </c>
      <c r="H24" s="48">
        <v>1974</v>
      </c>
      <c r="I24" s="46">
        <v>2138</v>
      </c>
      <c r="J24" s="47">
        <v>4112</v>
      </c>
      <c r="K24" s="46">
        <v>320</v>
      </c>
      <c r="L24" s="46">
        <v>289</v>
      </c>
      <c r="M24" s="47">
        <v>609</v>
      </c>
      <c r="N24" s="46">
        <v>3404</v>
      </c>
      <c r="O24" s="46">
        <v>3491</v>
      </c>
      <c r="P24" s="92">
        <v>6895</v>
      </c>
    </row>
    <row r="25" spans="1:16" ht="15">
      <c r="A25" s="36" t="s">
        <v>2</v>
      </c>
      <c r="B25" s="46">
        <v>475</v>
      </c>
      <c r="C25" s="46">
        <v>415</v>
      </c>
      <c r="D25" s="47">
        <v>890</v>
      </c>
      <c r="E25" s="48">
        <v>499</v>
      </c>
      <c r="F25" s="46">
        <v>448</v>
      </c>
      <c r="G25" s="47">
        <v>947</v>
      </c>
      <c r="H25" s="48">
        <v>1821</v>
      </c>
      <c r="I25" s="46">
        <v>1762</v>
      </c>
      <c r="J25" s="47">
        <v>3583</v>
      </c>
      <c r="K25" s="46">
        <v>279</v>
      </c>
      <c r="L25" s="46">
        <v>255</v>
      </c>
      <c r="M25" s="47">
        <v>534</v>
      </c>
      <c r="N25" s="46">
        <v>3074</v>
      </c>
      <c r="O25" s="46">
        <v>2880</v>
      </c>
      <c r="P25" s="92">
        <v>5954</v>
      </c>
    </row>
    <row r="26" spans="1:16" ht="15">
      <c r="A26" s="36" t="s">
        <v>3</v>
      </c>
      <c r="B26" s="46">
        <v>285</v>
      </c>
      <c r="C26" s="46">
        <v>248</v>
      </c>
      <c r="D26" s="47">
        <v>533</v>
      </c>
      <c r="E26" s="48">
        <v>322</v>
      </c>
      <c r="F26" s="46">
        <v>332</v>
      </c>
      <c r="G26" s="47">
        <v>654</v>
      </c>
      <c r="H26" s="48">
        <v>1239</v>
      </c>
      <c r="I26" s="46">
        <v>1395</v>
      </c>
      <c r="J26" s="47">
        <v>2634</v>
      </c>
      <c r="K26" s="46">
        <v>168</v>
      </c>
      <c r="L26" s="46">
        <v>180</v>
      </c>
      <c r="M26" s="47">
        <v>348</v>
      </c>
      <c r="N26" s="46">
        <v>2014</v>
      </c>
      <c r="O26" s="46">
        <v>2155</v>
      </c>
      <c r="P26" s="92">
        <v>4169</v>
      </c>
    </row>
    <row r="27" spans="1:16" ht="15">
      <c r="A27" s="36" t="s">
        <v>4</v>
      </c>
      <c r="B27" s="46">
        <v>175</v>
      </c>
      <c r="C27" s="46">
        <v>173</v>
      </c>
      <c r="D27" s="47">
        <v>348</v>
      </c>
      <c r="E27" s="48">
        <v>215</v>
      </c>
      <c r="F27" s="46">
        <v>220</v>
      </c>
      <c r="G27" s="47">
        <v>435</v>
      </c>
      <c r="H27" s="48">
        <v>850</v>
      </c>
      <c r="I27" s="46">
        <v>1033</v>
      </c>
      <c r="J27" s="47">
        <v>1883</v>
      </c>
      <c r="K27" s="46">
        <v>124</v>
      </c>
      <c r="L27" s="46">
        <v>112</v>
      </c>
      <c r="M27" s="47">
        <v>236</v>
      </c>
      <c r="N27" s="46">
        <v>1364</v>
      </c>
      <c r="O27" s="46">
        <v>1538</v>
      </c>
      <c r="P27" s="92">
        <v>2902</v>
      </c>
    </row>
    <row r="28" spans="1:16" ht="15">
      <c r="A28" s="36" t="s">
        <v>5</v>
      </c>
      <c r="B28" s="46">
        <v>95</v>
      </c>
      <c r="C28" s="46">
        <v>136</v>
      </c>
      <c r="D28" s="47">
        <v>231</v>
      </c>
      <c r="E28" s="48">
        <v>138</v>
      </c>
      <c r="F28" s="46">
        <v>172</v>
      </c>
      <c r="G28" s="47">
        <v>310</v>
      </c>
      <c r="H28" s="48">
        <v>501</v>
      </c>
      <c r="I28" s="46">
        <v>692</v>
      </c>
      <c r="J28" s="47">
        <v>1193</v>
      </c>
      <c r="K28" s="46">
        <v>47</v>
      </c>
      <c r="L28" s="46">
        <v>64</v>
      </c>
      <c r="M28" s="47">
        <v>111</v>
      </c>
      <c r="N28" s="46">
        <v>781</v>
      </c>
      <c r="O28" s="46">
        <v>1064</v>
      </c>
      <c r="P28" s="92">
        <v>1845</v>
      </c>
    </row>
    <row r="29" spans="1:16" ht="15">
      <c r="A29" s="36" t="s">
        <v>6</v>
      </c>
      <c r="B29" s="46">
        <v>42</v>
      </c>
      <c r="C29" s="46">
        <v>61</v>
      </c>
      <c r="D29" s="47">
        <v>103</v>
      </c>
      <c r="E29" s="48">
        <v>50</v>
      </c>
      <c r="F29" s="46">
        <v>98</v>
      </c>
      <c r="G29" s="47">
        <v>148</v>
      </c>
      <c r="H29" s="48">
        <v>243</v>
      </c>
      <c r="I29" s="46">
        <v>400</v>
      </c>
      <c r="J29" s="47">
        <v>643</v>
      </c>
      <c r="K29" s="46">
        <v>20</v>
      </c>
      <c r="L29" s="46">
        <v>23</v>
      </c>
      <c r="M29" s="47">
        <v>43</v>
      </c>
      <c r="N29" s="46">
        <v>355</v>
      </c>
      <c r="O29" s="46">
        <v>582</v>
      </c>
      <c r="P29" s="92">
        <v>937</v>
      </c>
    </row>
    <row r="30" spans="1:16" ht="15">
      <c r="A30" s="36" t="s">
        <v>7</v>
      </c>
      <c r="B30" s="46">
        <v>13</v>
      </c>
      <c r="C30" s="46">
        <v>26</v>
      </c>
      <c r="D30" s="47">
        <v>39</v>
      </c>
      <c r="E30" s="48">
        <v>15</v>
      </c>
      <c r="F30" s="46">
        <v>44</v>
      </c>
      <c r="G30" s="47">
        <v>59</v>
      </c>
      <c r="H30" s="48">
        <v>66</v>
      </c>
      <c r="I30" s="46">
        <v>149</v>
      </c>
      <c r="J30" s="47">
        <v>215</v>
      </c>
      <c r="K30" s="46">
        <v>7</v>
      </c>
      <c r="L30" s="46">
        <v>8</v>
      </c>
      <c r="M30" s="47">
        <v>15</v>
      </c>
      <c r="N30" s="46">
        <v>101</v>
      </c>
      <c r="O30" s="46">
        <v>227</v>
      </c>
      <c r="P30" s="92">
        <v>328</v>
      </c>
    </row>
    <row r="31" spans="1:16" ht="15">
      <c r="A31" s="36" t="s">
        <v>123</v>
      </c>
      <c r="B31" s="46">
        <v>3</v>
      </c>
      <c r="C31" s="46">
        <v>10</v>
      </c>
      <c r="D31" s="47">
        <v>13</v>
      </c>
      <c r="E31" s="48">
        <v>4</v>
      </c>
      <c r="F31" s="46">
        <v>15</v>
      </c>
      <c r="G31" s="47">
        <v>19</v>
      </c>
      <c r="H31" s="48">
        <v>35</v>
      </c>
      <c r="I31" s="46">
        <v>41</v>
      </c>
      <c r="J31" s="47">
        <v>76</v>
      </c>
      <c r="K31" s="46">
        <v>0</v>
      </c>
      <c r="L31" s="46">
        <v>5</v>
      </c>
      <c r="M31" s="47">
        <v>5</v>
      </c>
      <c r="N31" s="46">
        <v>42</v>
      </c>
      <c r="O31" s="46">
        <v>71</v>
      </c>
      <c r="P31" s="92">
        <v>113</v>
      </c>
    </row>
    <row r="32" spans="1:16" s="22" customFormat="1" ht="15">
      <c r="A32" s="88" t="s">
        <v>12</v>
      </c>
      <c r="B32" s="89">
        <v>1679</v>
      </c>
      <c r="C32" s="89">
        <v>1587</v>
      </c>
      <c r="D32" s="90">
        <v>3266</v>
      </c>
      <c r="E32" s="89">
        <v>1762</v>
      </c>
      <c r="F32" s="89">
        <v>1875</v>
      </c>
      <c r="G32" s="90">
        <v>3637</v>
      </c>
      <c r="H32" s="89">
        <v>6729</v>
      </c>
      <c r="I32" s="89">
        <v>7610</v>
      </c>
      <c r="J32" s="90">
        <v>14339</v>
      </c>
      <c r="K32" s="89">
        <v>965</v>
      </c>
      <c r="L32" s="89">
        <v>936</v>
      </c>
      <c r="M32" s="90">
        <v>1901</v>
      </c>
      <c r="N32" s="91">
        <v>11135</v>
      </c>
      <c r="O32" s="89">
        <v>12008</v>
      </c>
      <c r="P32" s="90">
        <v>23143</v>
      </c>
    </row>
    <row r="34" ht="12.75">
      <c r="A34" s="7" t="s">
        <v>126</v>
      </c>
    </row>
  </sheetData>
  <sheetProtection/>
  <mergeCells count="12">
    <mergeCell ref="B22:D22"/>
    <mergeCell ref="E22:G22"/>
    <mergeCell ref="H22:J22"/>
    <mergeCell ref="K22:M22"/>
    <mergeCell ref="N22:P22"/>
    <mergeCell ref="A22:A23"/>
    <mergeCell ref="A6:A7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0.8515625" style="0" customWidth="1"/>
    <col min="2" max="2" width="12.28125" style="0" customWidth="1"/>
    <col min="4" max="4" width="12.7109375" style="0" customWidth="1"/>
    <col min="5" max="5" width="13.421875" style="0" customWidth="1"/>
  </cols>
  <sheetData>
    <row r="2" spans="1:12" ht="19.5">
      <c r="A2" s="4" t="s">
        <v>156</v>
      </c>
      <c r="B2" s="34"/>
      <c r="C2" s="34"/>
      <c r="D2" s="34"/>
      <c r="E2" s="34"/>
      <c r="F2" s="34"/>
      <c r="G2" s="34"/>
      <c r="H2" s="34"/>
      <c r="I2" s="35"/>
      <c r="J2" s="70"/>
      <c r="K2" s="70"/>
      <c r="L2" s="70"/>
    </row>
    <row r="4" ht="12.75">
      <c r="A4" s="7" t="s">
        <v>161</v>
      </c>
    </row>
    <row r="6" spans="1:7" ht="31.5">
      <c r="A6" s="64" t="s">
        <v>159</v>
      </c>
      <c r="B6" s="64" t="s">
        <v>1</v>
      </c>
      <c r="C6" s="64" t="s">
        <v>2</v>
      </c>
      <c r="D6" s="64" t="s">
        <v>3</v>
      </c>
      <c r="E6" s="64" t="s">
        <v>4</v>
      </c>
      <c r="F6" s="64" t="s">
        <v>165</v>
      </c>
      <c r="G6" s="64" t="s">
        <v>154</v>
      </c>
    </row>
    <row r="7" spans="1:7" ht="15">
      <c r="A7" s="65" t="s">
        <v>139</v>
      </c>
      <c r="B7" s="82">
        <v>4000</v>
      </c>
      <c r="C7" s="82">
        <v>3053</v>
      </c>
      <c r="D7" s="82">
        <v>2810</v>
      </c>
      <c r="E7" s="82">
        <v>2033</v>
      </c>
      <c r="F7" s="82">
        <v>2379</v>
      </c>
      <c r="G7" s="82">
        <v>14275</v>
      </c>
    </row>
    <row r="8" spans="1:7" ht="15">
      <c r="A8" s="65" t="s">
        <v>140</v>
      </c>
      <c r="B8" s="82">
        <v>325</v>
      </c>
      <c r="C8" s="82">
        <v>269</v>
      </c>
      <c r="D8" s="82">
        <v>192</v>
      </c>
      <c r="E8" s="82">
        <v>156</v>
      </c>
      <c r="F8" s="82">
        <v>183</v>
      </c>
      <c r="G8" s="82">
        <v>1125</v>
      </c>
    </row>
    <row r="9" spans="1:7" ht="15">
      <c r="A9" s="65" t="s">
        <v>141</v>
      </c>
      <c r="B9" s="82">
        <v>4253</v>
      </c>
      <c r="C9" s="82">
        <v>3222</v>
      </c>
      <c r="D9" s="82">
        <v>2270</v>
      </c>
      <c r="E9" s="82">
        <v>1401</v>
      </c>
      <c r="F9" s="82">
        <v>1253</v>
      </c>
      <c r="G9" s="82">
        <v>12399</v>
      </c>
    </row>
    <row r="10" spans="1:7" ht="15">
      <c r="A10" s="65" t="s">
        <v>142</v>
      </c>
      <c r="B10" s="82">
        <v>128</v>
      </c>
      <c r="C10" s="82">
        <v>102</v>
      </c>
      <c r="D10" s="82">
        <v>125</v>
      </c>
      <c r="E10" s="82">
        <v>48</v>
      </c>
      <c r="F10" s="82">
        <v>29</v>
      </c>
      <c r="G10" s="82">
        <v>432</v>
      </c>
    </row>
    <row r="11" spans="1:7" ht="15">
      <c r="A11" s="65" t="s">
        <v>143</v>
      </c>
      <c r="B11" s="82">
        <v>234</v>
      </c>
      <c r="C11" s="82">
        <v>187</v>
      </c>
      <c r="D11" s="82">
        <v>205</v>
      </c>
      <c r="E11" s="82">
        <v>149</v>
      </c>
      <c r="F11" s="82">
        <v>165</v>
      </c>
      <c r="G11" s="82">
        <v>940</v>
      </c>
    </row>
    <row r="12" spans="1:7" ht="15">
      <c r="A12" s="65" t="s">
        <v>144</v>
      </c>
      <c r="B12" s="82">
        <v>198</v>
      </c>
      <c r="C12" s="82">
        <v>156</v>
      </c>
      <c r="D12" s="82">
        <v>171</v>
      </c>
      <c r="E12" s="82">
        <v>171</v>
      </c>
      <c r="F12" s="82">
        <v>102</v>
      </c>
      <c r="G12" s="82">
        <v>798</v>
      </c>
    </row>
    <row r="13" spans="1:7" ht="15">
      <c r="A13" s="65" t="s">
        <v>145</v>
      </c>
      <c r="B13" s="82">
        <v>741</v>
      </c>
      <c r="C13" s="82">
        <v>594</v>
      </c>
      <c r="D13" s="82">
        <v>512</v>
      </c>
      <c r="E13" s="82">
        <v>362</v>
      </c>
      <c r="F13" s="82">
        <v>345</v>
      </c>
      <c r="G13" s="82">
        <v>2554</v>
      </c>
    </row>
    <row r="14" spans="1:7" ht="15">
      <c r="A14" s="65" t="s">
        <v>146</v>
      </c>
      <c r="B14" s="82">
        <v>77</v>
      </c>
      <c r="C14" s="82">
        <v>47</v>
      </c>
      <c r="D14" s="82">
        <v>50</v>
      </c>
      <c r="E14" s="82">
        <v>41</v>
      </c>
      <c r="F14" s="82">
        <v>70</v>
      </c>
      <c r="G14" s="82">
        <v>285</v>
      </c>
    </row>
    <row r="15" spans="1:7" ht="15">
      <c r="A15" s="65" t="s">
        <v>147</v>
      </c>
      <c r="B15" s="82">
        <v>802</v>
      </c>
      <c r="C15" s="82">
        <v>525</v>
      </c>
      <c r="D15" s="82">
        <v>384</v>
      </c>
      <c r="E15" s="82">
        <v>241</v>
      </c>
      <c r="F15" s="82">
        <v>279</v>
      </c>
      <c r="G15" s="82">
        <v>2231</v>
      </c>
    </row>
    <row r="16" spans="1:7" ht="15">
      <c r="A16" s="65" t="s">
        <v>148</v>
      </c>
      <c r="B16" s="82">
        <v>1170</v>
      </c>
      <c r="C16" s="82">
        <v>937</v>
      </c>
      <c r="D16" s="82">
        <v>828</v>
      </c>
      <c r="E16" s="82">
        <v>529</v>
      </c>
      <c r="F16" s="82">
        <v>847</v>
      </c>
      <c r="G16" s="82">
        <v>4311</v>
      </c>
    </row>
    <row r="17" spans="1:7" ht="15.75">
      <c r="A17" s="69" t="s">
        <v>149</v>
      </c>
      <c r="B17" s="67">
        <v>11928</v>
      </c>
      <c r="C17" s="67">
        <v>9092</v>
      </c>
      <c r="D17" s="67">
        <v>7547</v>
      </c>
      <c r="E17" s="67">
        <v>5131</v>
      </c>
      <c r="F17" s="67">
        <v>5652</v>
      </c>
      <c r="G17" s="67">
        <v>39350</v>
      </c>
    </row>
    <row r="19" ht="12.75">
      <c r="A19" s="68" t="s">
        <v>155</v>
      </c>
    </row>
    <row r="21" spans="1:6" ht="31.5">
      <c r="A21" s="64" t="s">
        <v>58</v>
      </c>
      <c r="B21" s="64" t="s">
        <v>150</v>
      </c>
      <c r="C21" s="64" t="s">
        <v>151</v>
      </c>
      <c r="D21" s="64" t="s">
        <v>152</v>
      </c>
      <c r="E21" s="64" t="s">
        <v>153</v>
      </c>
      <c r="F21" s="64" t="s">
        <v>154</v>
      </c>
    </row>
    <row r="22" spans="1:6" ht="15">
      <c r="A22" s="65" t="s">
        <v>139</v>
      </c>
      <c r="B22" s="66">
        <v>7062</v>
      </c>
      <c r="C22" s="66">
        <v>3930</v>
      </c>
      <c r="D22" s="66">
        <v>1673</v>
      </c>
      <c r="E22" s="66">
        <v>271</v>
      </c>
      <c r="F22" s="66">
        <v>12936</v>
      </c>
    </row>
    <row r="23" spans="1:6" ht="15">
      <c r="A23" s="65" t="s">
        <v>140</v>
      </c>
      <c r="B23" s="66">
        <v>478</v>
      </c>
      <c r="C23" s="66">
        <v>293</v>
      </c>
      <c r="D23" s="66">
        <v>99</v>
      </c>
      <c r="E23" s="66">
        <v>21</v>
      </c>
      <c r="F23" s="66">
        <v>891</v>
      </c>
    </row>
    <row r="24" spans="1:6" ht="15">
      <c r="A24" s="65" t="s">
        <v>141</v>
      </c>
      <c r="B24" s="66">
        <v>6139</v>
      </c>
      <c r="C24" s="66">
        <v>2860</v>
      </c>
      <c r="D24" s="66">
        <v>877</v>
      </c>
      <c r="E24" s="66">
        <v>92</v>
      </c>
      <c r="F24" s="66">
        <v>9968</v>
      </c>
    </row>
    <row r="25" spans="1:6" ht="15">
      <c r="A25" s="65" t="s">
        <v>142</v>
      </c>
      <c r="B25" s="66">
        <v>272</v>
      </c>
      <c r="C25" s="66">
        <v>84</v>
      </c>
      <c r="D25" s="66">
        <v>17</v>
      </c>
      <c r="E25" s="66">
        <v>3</v>
      </c>
      <c r="F25" s="66">
        <v>376</v>
      </c>
    </row>
    <row r="26" spans="1:6" ht="15">
      <c r="A26" s="65" t="s">
        <v>143</v>
      </c>
      <c r="B26" s="66">
        <v>504</v>
      </c>
      <c r="C26" s="66">
        <v>354</v>
      </c>
      <c r="D26" s="66">
        <v>82</v>
      </c>
      <c r="E26" s="66">
        <v>4</v>
      </c>
      <c r="F26" s="66">
        <v>944</v>
      </c>
    </row>
    <row r="27" spans="1:6" ht="15">
      <c r="A27" s="65" t="s">
        <v>144</v>
      </c>
      <c r="B27" s="66">
        <v>382</v>
      </c>
      <c r="C27" s="66">
        <v>253</v>
      </c>
      <c r="D27" s="66">
        <v>45</v>
      </c>
      <c r="E27" s="66">
        <v>10</v>
      </c>
      <c r="F27" s="66">
        <v>690</v>
      </c>
    </row>
    <row r="28" spans="1:6" ht="15">
      <c r="A28" s="65" t="s">
        <v>145</v>
      </c>
      <c r="B28" s="66">
        <v>1247</v>
      </c>
      <c r="C28" s="66">
        <v>720</v>
      </c>
      <c r="D28" s="66">
        <v>224</v>
      </c>
      <c r="E28" s="66">
        <v>19</v>
      </c>
      <c r="F28" s="66">
        <v>2210</v>
      </c>
    </row>
    <row r="29" spans="1:6" ht="15">
      <c r="A29" s="65" t="s">
        <v>146</v>
      </c>
      <c r="B29" s="66">
        <v>107</v>
      </c>
      <c r="C29" s="66">
        <v>72</v>
      </c>
      <c r="D29" s="66">
        <v>49</v>
      </c>
      <c r="E29" s="66">
        <v>2</v>
      </c>
      <c r="F29" s="66">
        <v>230</v>
      </c>
    </row>
    <row r="30" spans="1:6" ht="15">
      <c r="A30" s="65" t="s">
        <v>147</v>
      </c>
      <c r="B30" s="66">
        <v>671</v>
      </c>
      <c r="C30" s="66">
        <v>367</v>
      </c>
      <c r="D30" s="66">
        <v>132</v>
      </c>
      <c r="E30" s="66">
        <v>12</v>
      </c>
      <c r="F30" s="66">
        <v>1182</v>
      </c>
    </row>
    <row r="31" spans="1:6" ht="15">
      <c r="A31" s="65" t="s">
        <v>148</v>
      </c>
      <c r="B31" s="66">
        <v>2107</v>
      </c>
      <c r="C31" s="66">
        <v>1232</v>
      </c>
      <c r="D31" s="66">
        <v>640</v>
      </c>
      <c r="E31" s="66">
        <v>123</v>
      </c>
      <c r="F31" s="66">
        <v>4102</v>
      </c>
    </row>
    <row r="32" spans="1:6" ht="15.75">
      <c r="A32" s="69" t="s">
        <v>149</v>
      </c>
      <c r="B32" s="67">
        <f>SUM(B22:B31)</f>
        <v>18969</v>
      </c>
      <c r="C32" s="67">
        <f>SUM(C22:C31)</f>
        <v>10165</v>
      </c>
      <c r="D32" s="67">
        <f>SUM(D22:D31)</f>
        <v>3838</v>
      </c>
      <c r="E32" s="67">
        <f>SUM(E22:E31)</f>
        <v>557</v>
      </c>
      <c r="F32" s="67">
        <f>SUM(F22:F31)</f>
        <v>33529</v>
      </c>
    </row>
    <row r="34" ht="12.75">
      <c r="A34" s="68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XTAB</dc:title>
  <dc:subject/>
  <dc:creator/>
  <cp:keywords/>
  <dc:description/>
  <cp:lastModifiedBy>Nicolas Prou</cp:lastModifiedBy>
  <cp:lastPrinted>2014-05-21T21:41:39Z</cp:lastPrinted>
  <dcterms:created xsi:type="dcterms:W3CDTF">2014-05-13T22:37:59Z</dcterms:created>
  <dcterms:modified xsi:type="dcterms:W3CDTF">2020-11-10T00:41:35Z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